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2104" yWindow="0" windowWidth="18228" windowHeight="8076" tabRatio="790"/>
  </bookViews>
  <sheets>
    <sheet name="전체 (5)" sheetId="496" r:id="rId1"/>
    <sheet name="솜목화&lt;친절하기는 얼어죽을&gt; MG차감내역" sheetId="498" r:id="rId2"/>
  </sheets>
  <definedNames>
    <definedName name="_xlnm._FilterDatabase" localSheetId="0" hidden="1">'전체 (5)'!$A$1:$AW$5305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AP5305" i="496" l="1"/>
  <c r="AP5304" i="496"/>
  <c r="D10" i="498"/>
  <c r="C11" i="498"/>
  <c r="C10" i="498"/>
  <c r="D8" i="498"/>
  <c r="B11" i="498"/>
  <c r="C142" i="496"/>
  <c r="D142" i="496"/>
  <c r="E142" i="496"/>
  <c r="H142" i="496"/>
  <c r="I142" i="496"/>
  <c r="AR142" i="496"/>
  <c r="AT142" i="496"/>
  <c r="AV142" i="496"/>
  <c r="C5148" i="496"/>
  <c r="D5148" i="496"/>
  <c r="E5148" i="496"/>
  <c r="H5148" i="496"/>
  <c r="I5148" i="496"/>
  <c r="AR5148" i="496"/>
  <c r="AT5148" i="496"/>
  <c r="AV5148" i="496"/>
  <c r="C5149" i="496"/>
  <c r="D5149" i="496"/>
  <c r="E5149" i="496"/>
  <c r="H5149" i="496"/>
  <c r="I5149" i="496"/>
  <c r="AR5149" i="496"/>
  <c r="AT5149" i="496"/>
  <c r="AV5149" i="496"/>
  <c r="C5150" i="496"/>
  <c r="D5150" i="496"/>
  <c r="E5150" i="496"/>
  <c r="H5150" i="496"/>
  <c r="I5150" i="496"/>
  <c r="AR5150" i="496"/>
  <c r="AT5150" i="496"/>
  <c r="AV5150" i="496"/>
  <c r="C383" i="496"/>
  <c r="D383" i="496"/>
  <c r="E383" i="496"/>
  <c r="H383" i="496"/>
  <c r="I383" i="496"/>
  <c r="AR383" i="496"/>
  <c r="AT383" i="496"/>
  <c r="AV383" i="496"/>
  <c r="C329" i="496"/>
  <c r="D329" i="496"/>
  <c r="E329" i="496"/>
  <c r="H329" i="496"/>
  <c r="I329" i="496"/>
  <c r="AR329" i="496"/>
  <c r="AT329" i="496"/>
  <c r="AV329" i="496"/>
  <c r="C330" i="496"/>
  <c r="D330" i="496"/>
  <c r="E330" i="496"/>
  <c r="H330" i="496"/>
  <c r="I330" i="496"/>
  <c r="AR330" i="496"/>
  <c r="AT330" i="496"/>
  <c r="AV330" i="496"/>
  <c r="C331" i="496"/>
  <c r="D331" i="496"/>
  <c r="E331" i="496"/>
  <c r="H331" i="496"/>
  <c r="I331" i="496"/>
  <c r="AR331" i="496"/>
  <c r="AT331" i="496"/>
  <c r="AV331" i="496"/>
  <c r="C332" i="496"/>
  <c r="D332" i="496"/>
  <c r="E332" i="496"/>
  <c r="H332" i="496"/>
  <c r="I332" i="496"/>
  <c r="AR332" i="496"/>
  <c r="AT332" i="496"/>
  <c r="AV332" i="496"/>
  <c r="C333" i="496"/>
  <c r="D333" i="496"/>
  <c r="E333" i="496"/>
  <c r="H333" i="496"/>
  <c r="I333" i="496"/>
  <c r="AR333" i="496"/>
  <c r="AT333" i="496"/>
  <c r="AV333" i="496"/>
  <c r="C334" i="496"/>
  <c r="D334" i="496"/>
  <c r="E334" i="496"/>
  <c r="H334" i="496"/>
  <c r="I334" i="496"/>
  <c r="AR334" i="496"/>
  <c r="AT334" i="496"/>
  <c r="AV334" i="496"/>
  <c r="C335" i="496"/>
  <c r="D335" i="496"/>
  <c r="E335" i="496"/>
  <c r="H335" i="496"/>
  <c r="I335" i="496"/>
  <c r="AR335" i="496"/>
  <c r="AT335" i="496"/>
  <c r="AV335" i="496"/>
  <c r="C336" i="496"/>
  <c r="D336" i="496"/>
  <c r="E336" i="496"/>
  <c r="H336" i="496"/>
  <c r="I336" i="496"/>
  <c r="AR336" i="496"/>
  <c r="AT336" i="496"/>
  <c r="AV336" i="496"/>
  <c r="C337" i="496"/>
  <c r="D337" i="496"/>
  <c r="E337" i="496"/>
  <c r="H337" i="496"/>
  <c r="I337" i="496"/>
  <c r="AR337" i="496"/>
  <c r="AT337" i="496"/>
  <c r="AV337" i="496"/>
  <c r="C338" i="496"/>
  <c r="D338" i="496"/>
  <c r="E338" i="496"/>
  <c r="H338" i="496"/>
  <c r="I338" i="496"/>
  <c r="AR338" i="496"/>
  <c r="AT338" i="496"/>
  <c r="AV338" i="496"/>
  <c r="C339" i="496"/>
  <c r="D339" i="496"/>
  <c r="E339" i="496"/>
  <c r="H339" i="496"/>
  <c r="I339" i="496"/>
  <c r="AR339" i="496"/>
  <c r="AT339" i="496"/>
  <c r="AV339" i="496"/>
  <c r="C340" i="496"/>
  <c r="D340" i="496"/>
  <c r="E340" i="496"/>
  <c r="H340" i="496"/>
  <c r="I340" i="496"/>
  <c r="AR340" i="496"/>
  <c r="AT340" i="496"/>
  <c r="AV340" i="496"/>
  <c r="C341" i="496"/>
  <c r="D341" i="496"/>
  <c r="E341" i="496"/>
  <c r="H341" i="496"/>
  <c r="I341" i="496"/>
  <c r="AR341" i="496"/>
  <c r="AT341" i="496"/>
  <c r="AV341" i="496"/>
  <c r="C318" i="496"/>
  <c r="D318" i="496"/>
  <c r="E318" i="496"/>
  <c r="H318" i="496"/>
  <c r="I318" i="496"/>
  <c r="AR318" i="496"/>
  <c r="AT318" i="496"/>
  <c r="AV318" i="496"/>
  <c r="C319" i="496"/>
  <c r="D319" i="496"/>
  <c r="E319" i="496"/>
  <c r="H319" i="496"/>
  <c r="I319" i="496"/>
  <c r="AR319" i="496"/>
  <c r="AT319" i="496"/>
  <c r="AV319" i="496"/>
  <c r="C320" i="496"/>
  <c r="D320" i="496"/>
  <c r="E320" i="496"/>
  <c r="H320" i="496"/>
  <c r="I320" i="496"/>
  <c r="AR320" i="496"/>
  <c r="AT320" i="496"/>
  <c r="AV320" i="496"/>
  <c r="C321" i="496"/>
  <c r="D321" i="496"/>
  <c r="E321" i="496"/>
  <c r="H321" i="496"/>
  <c r="I321" i="496"/>
  <c r="AR321" i="496"/>
  <c r="AT321" i="496"/>
  <c r="AV321" i="496"/>
  <c r="C322" i="496"/>
  <c r="D322" i="496"/>
  <c r="E322" i="496"/>
  <c r="H322" i="496"/>
  <c r="I322" i="496"/>
  <c r="AR322" i="496"/>
  <c r="AT322" i="496"/>
  <c r="AV322" i="496"/>
  <c r="C323" i="496"/>
  <c r="D323" i="496"/>
  <c r="E323" i="496"/>
  <c r="H323" i="496"/>
  <c r="I323" i="496"/>
  <c r="AR323" i="496"/>
  <c r="AT323" i="496"/>
  <c r="AV323" i="496"/>
  <c r="C324" i="496"/>
  <c r="D324" i="496"/>
  <c r="E324" i="496"/>
  <c r="H324" i="496"/>
  <c r="I324" i="496"/>
  <c r="AR324" i="496"/>
  <c r="AT324" i="496"/>
  <c r="AV324" i="496"/>
  <c r="C325" i="496"/>
  <c r="D325" i="496"/>
  <c r="E325" i="496"/>
  <c r="H325" i="496"/>
  <c r="I325" i="496"/>
  <c r="AR325" i="496"/>
  <c r="AT325" i="496"/>
  <c r="AV325" i="496"/>
  <c r="C326" i="496"/>
  <c r="D326" i="496"/>
  <c r="E326" i="496"/>
  <c r="H326" i="496"/>
  <c r="I326" i="496"/>
  <c r="AR326" i="496"/>
  <c r="AT326" i="496"/>
  <c r="AV326" i="496"/>
  <c r="C312" i="496"/>
  <c r="D312" i="496"/>
  <c r="E312" i="496"/>
  <c r="H312" i="496"/>
  <c r="I312" i="496"/>
  <c r="AR312" i="496"/>
  <c r="AT312" i="496"/>
  <c r="AV312" i="496"/>
  <c r="C313" i="496"/>
  <c r="D313" i="496"/>
  <c r="E313" i="496"/>
  <c r="H313" i="496"/>
  <c r="I313" i="496"/>
  <c r="AR313" i="496"/>
  <c r="AT313" i="496"/>
  <c r="AV313" i="496"/>
  <c r="C314" i="496"/>
  <c r="D314" i="496"/>
  <c r="E314" i="496"/>
  <c r="H314" i="496"/>
  <c r="I314" i="496"/>
  <c r="AR314" i="496"/>
  <c r="AT314" i="496"/>
  <c r="AV314" i="496"/>
  <c r="C315" i="496"/>
  <c r="D315" i="496"/>
  <c r="E315" i="496"/>
  <c r="H315" i="496"/>
  <c r="I315" i="496"/>
  <c r="AR315" i="496"/>
  <c r="AT315" i="496"/>
  <c r="AV315" i="496"/>
  <c r="C302" i="496"/>
  <c r="D302" i="496"/>
  <c r="E302" i="496"/>
  <c r="H302" i="496"/>
  <c r="I302" i="496"/>
  <c r="AR302" i="496"/>
  <c r="AT302" i="496"/>
  <c r="AV302" i="496"/>
  <c r="C303" i="496"/>
  <c r="D303" i="496"/>
  <c r="E303" i="496"/>
  <c r="H303" i="496"/>
  <c r="I303" i="496"/>
  <c r="AR303" i="496"/>
  <c r="AT303" i="496"/>
  <c r="AV303" i="496"/>
  <c r="C304" i="496"/>
  <c r="D304" i="496"/>
  <c r="E304" i="496"/>
  <c r="H304" i="496"/>
  <c r="I304" i="496"/>
  <c r="AR304" i="496"/>
  <c r="AT304" i="496"/>
  <c r="AV304" i="496"/>
  <c r="C305" i="496"/>
  <c r="D305" i="496"/>
  <c r="E305" i="496"/>
  <c r="H305" i="496"/>
  <c r="I305" i="496"/>
  <c r="AR305" i="496"/>
  <c r="AT305" i="496"/>
  <c r="AV305" i="496"/>
  <c r="C306" i="496"/>
  <c r="D306" i="496"/>
  <c r="E306" i="496"/>
  <c r="H306" i="496"/>
  <c r="I306" i="496"/>
  <c r="AR306" i="496"/>
  <c r="AT306" i="496"/>
  <c r="AV306" i="496"/>
  <c r="C307" i="496"/>
  <c r="D307" i="496"/>
  <c r="E307" i="496"/>
  <c r="H307" i="496"/>
  <c r="I307" i="496"/>
  <c r="AR307" i="496"/>
  <c r="AT307" i="496"/>
  <c r="AV307" i="496"/>
  <c r="C297" i="496"/>
  <c r="D297" i="496"/>
  <c r="E297" i="496"/>
  <c r="H297" i="496"/>
  <c r="I297" i="496"/>
  <c r="AR297" i="496"/>
  <c r="AT297" i="496"/>
  <c r="AV297" i="496"/>
  <c r="C298" i="496"/>
  <c r="D298" i="496"/>
  <c r="E298" i="496"/>
  <c r="H298" i="496"/>
  <c r="I298" i="496"/>
  <c r="AR298" i="496"/>
  <c r="AT298" i="496"/>
  <c r="AV298" i="496"/>
  <c r="C299" i="496"/>
  <c r="D299" i="496"/>
  <c r="E299" i="496"/>
  <c r="H299" i="496"/>
  <c r="I299" i="496"/>
  <c r="AR299" i="496"/>
  <c r="AT299" i="496"/>
  <c r="AV299" i="496"/>
  <c r="C300" i="496"/>
  <c r="D300" i="496"/>
  <c r="E300" i="496"/>
  <c r="H300" i="496"/>
  <c r="I300" i="496"/>
  <c r="AR300" i="496"/>
  <c r="AT300" i="496"/>
  <c r="AV300" i="496"/>
  <c r="C287" i="496"/>
  <c r="D287" i="496"/>
  <c r="E287" i="496"/>
  <c r="H287" i="496"/>
  <c r="I287" i="496"/>
  <c r="AR287" i="496"/>
  <c r="AT287" i="496"/>
  <c r="AV287" i="496"/>
  <c r="C288" i="496"/>
  <c r="D288" i="496"/>
  <c r="E288" i="496"/>
  <c r="H288" i="496"/>
  <c r="I288" i="496"/>
  <c r="AR288" i="496"/>
  <c r="AT288" i="496"/>
  <c r="AV288" i="496"/>
  <c r="C248" i="496"/>
  <c r="D248" i="496"/>
  <c r="E248" i="496"/>
  <c r="H248" i="496"/>
  <c r="I248" i="496"/>
  <c r="AR248" i="496"/>
  <c r="AT248" i="496"/>
  <c r="AV248" i="496"/>
  <c r="C249" i="496"/>
  <c r="D249" i="496"/>
  <c r="E249" i="496"/>
  <c r="H249" i="496"/>
  <c r="I249" i="496"/>
  <c r="AR249" i="496"/>
  <c r="AT249" i="496"/>
  <c r="AV249" i="496"/>
  <c r="C246" i="496"/>
  <c r="D246" i="496"/>
  <c r="E246" i="496"/>
  <c r="H246" i="496"/>
  <c r="I246" i="496"/>
  <c r="AR246" i="496"/>
  <c r="AT246" i="496"/>
  <c r="AV246" i="496"/>
  <c r="C237" i="496"/>
  <c r="D237" i="496"/>
  <c r="E237" i="496"/>
  <c r="H237" i="496"/>
  <c r="I237" i="496"/>
  <c r="AR237" i="496"/>
  <c r="AT237" i="496"/>
  <c r="AV237" i="496"/>
  <c r="C238" i="496"/>
  <c r="D238" i="496"/>
  <c r="E238" i="496"/>
  <c r="H238" i="496"/>
  <c r="I238" i="496"/>
  <c r="AR238" i="496"/>
  <c r="AT238" i="496"/>
  <c r="AV238" i="496"/>
  <c r="C239" i="496"/>
  <c r="D239" i="496"/>
  <c r="E239" i="496"/>
  <c r="H239" i="496"/>
  <c r="I239" i="496"/>
  <c r="AR239" i="496"/>
  <c r="AT239" i="496"/>
  <c r="AV239" i="496"/>
  <c r="C240" i="496"/>
  <c r="D240" i="496"/>
  <c r="E240" i="496"/>
  <c r="H240" i="496"/>
  <c r="I240" i="496"/>
  <c r="AR240" i="496"/>
  <c r="AT240" i="496"/>
  <c r="AV240" i="496"/>
  <c r="C241" i="496"/>
  <c r="D241" i="496"/>
  <c r="E241" i="496"/>
  <c r="H241" i="496"/>
  <c r="I241" i="496"/>
  <c r="AR241" i="496"/>
  <c r="AT241" i="496"/>
  <c r="AV241" i="496"/>
  <c r="C242" i="496"/>
  <c r="D242" i="496"/>
  <c r="E242" i="496"/>
  <c r="H242" i="496"/>
  <c r="I242" i="496"/>
  <c r="AR242" i="496"/>
  <c r="AT242" i="496"/>
  <c r="AV242" i="496"/>
  <c r="C243" i="496"/>
  <c r="D243" i="496"/>
  <c r="E243" i="496"/>
  <c r="H243" i="496"/>
  <c r="I243" i="496"/>
  <c r="AR243" i="496"/>
  <c r="AT243" i="496"/>
  <c r="AV243" i="496"/>
  <c r="C244" i="496"/>
  <c r="D244" i="496"/>
  <c r="E244" i="496"/>
  <c r="H244" i="496"/>
  <c r="I244" i="496"/>
  <c r="AR244" i="496"/>
  <c r="AT244" i="496"/>
  <c r="AV244" i="496"/>
  <c r="C233" i="496"/>
  <c r="D233" i="496"/>
  <c r="E233" i="496"/>
  <c r="H233" i="496"/>
  <c r="I233" i="496"/>
  <c r="AR233" i="496"/>
  <c r="AT233" i="496"/>
  <c r="AV233" i="496"/>
  <c r="C234" i="496"/>
  <c r="D234" i="496"/>
  <c r="E234" i="496"/>
  <c r="H234" i="496"/>
  <c r="I234" i="496"/>
  <c r="AR234" i="496"/>
  <c r="AT234" i="496"/>
  <c r="AV234" i="496"/>
  <c r="C235" i="496"/>
  <c r="D235" i="496"/>
  <c r="E235" i="496"/>
  <c r="H235" i="496"/>
  <c r="I235" i="496"/>
  <c r="AR235" i="496"/>
  <c r="AT235" i="496"/>
  <c r="AV235" i="496"/>
  <c r="C222" i="496"/>
  <c r="D222" i="496"/>
  <c r="E222" i="496"/>
  <c r="H222" i="496"/>
  <c r="I222" i="496"/>
  <c r="AR222" i="496"/>
  <c r="AT222" i="496"/>
  <c r="AV222" i="496"/>
  <c r="C223" i="496"/>
  <c r="D223" i="496"/>
  <c r="E223" i="496"/>
  <c r="H223" i="496"/>
  <c r="I223" i="496"/>
  <c r="AR223" i="496"/>
  <c r="AT223" i="496"/>
  <c r="AV223" i="496"/>
  <c r="C218" i="496"/>
  <c r="D218" i="496"/>
  <c r="E218" i="496"/>
  <c r="H218" i="496"/>
  <c r="I218" i="496"/>
  <c r="AR218" i="496"/>
  <c r="AT218" i="496"/>
  <c r="AV218" i="496"/>
  <c r="C219" i="496"/>
  <c r="D219" i="496"/>
  <c r="E219" i="496"/>
  <c r="H219" i="496"/>
  <c r="I219" i="496"/>
  <c r="AR219" i="496"/>
  <c r="AT219" i="496"/>
  <c r="AV219" i="496"/>
  <c r="C212" i="496"/>
  <c r="D212" i="496"/>
  <c r="E212" i="496"/>
  <c r="H212" i="496"/>
  <c r="I212" i="496"/>
  <c r="AR212" i="496"/>
  <c r="AT212" i="496"/>
  <c r="AV212" i="496"/>
  <c r="C213" i="496"/>
  <c r="D213" i="496"/>
  <c r="E213" i="496"/>
  <c r="H213" i="496"/>
  <c r="I213" i="496"/>
  <c r="AR213" i="496"/>
  <c r="AT213" i="496"/>
  <c r="AV213" i="496"/>
  <c r="C214" i="496"/>
  <c r="D214" i="496"/>
  <c r="E214" i="496"/>
  <c r="H214" i="496"/>
  <c r="I214" i="496"/>
  <c r="AR214" i="496"/>
  <c r="AT214" i="496"/>
  <c r="AV214" i="496"/>
  <c r="C208" i="496"/>
  <c r="D208" i="496"/>
  <c r="E208" i="496"/>
  <c r="H208" i="496"/>
  <c r="I208" i="496"/>
  <c r="AR208" i="496"/>
  <c r="AT208" i="496"/>
  <c r="AV208" i="496"/>
  <c r="C209" i="496"/>
  <c r="D209" i="496"/>
  <c r="E209" i="496"/>
  <c r="H209" i="496"/>
  <c r="I209" i="496"/>
  <c r="AR209" i="496"/>
  <c r="AT209" i="496"/>
  <c r="AV209" i="496"/>
  <c r="C210" i="496"/>
  <c r="D210" i="496"/>
  <c r="E210" i="496"/>
  <c r="H210" i="496"/>
  <c r="I210" i="496"/>
  <c r="AR210" i="496"/>
  <c r="AT210" i="496"/>
  <c r="AV210" i="496"/>
  <c r="C205" i="496"/>
  <c r="D205" i="496"/>
  <c r="E205" i="496"/>
  <c r="H205" i="496"/>
  <c r="I205" i="496"/>
  <c r="AR205" i="496"/>
  <c r="AT205" i="496"/>
  <c r="AV205" i="496"/>
  <c r="C206" i="496"/>
  <c r="D206" i="496"/>
  <c r="E206" i="496"/>
  <c r="H206" i="496"/>
  <c r="I206" i="496"/>
  <c r="AR206" i="496"/>
  <c r="AT206" i="496"/>
  <c r="AV206" i="496"/>
  <c r="C191" i="496"/>
  <c r="D191" i="496"/>
  <c r="E191" i="496"/>
  <c r="H191" i="496"/>
  <c r="I191" i="496"/>
  <c r="AR191" i="496"/>
  <c r="AT191" i="496"/>
  <c r="AV191" i="496"/>
  <c r="C192" i="496"/>
  <c r="D192" i="496"/>
  <c r="E192" i="496"/>
  <c r="H192" i="496"/>
  <c r="I192" i="496"/>
  <c r="AR192" i="496"/>
  <c r="AT192" i="496"/>
  <c r="AV192" i="496"/>
  <c r="C193" i="496"/>
  <c r="D193" i="496"/>
  <c r="E193" i="496"/>
  <c r="H193" i="496"/>
  <c r="I193" i="496"/>
  <c r="AR193" i="496"/>
  <c r="AT193" i="496"/>
  <c r="AV193" i="496"/>
  <c r="C194" i="496"/>
  <c r="D194" i="496"/>
  <c r="E194" i="496"/>
  <c r="H194" i="496"/>
  <c r="I194" i="496"/>
  <c r="AR194" i="496"/>
  <c r="AT194" i="496"/>
  <c r="AV194" i="496"/>
  <c r="C195" i="496"/>
  <c r="D195" i="496"/>
  <c r="E195" i="496"/>
  <c r="H195" i="496"/>
  <c r="I195" i="496"/>
  <c r="AR195" i="496"/>
  <c r="AT195" i="496"/>
  <c r="AV195" i="496"/>
  <c r="C196" i="496"/>
  <c r="D196" i="496"/>
  <c r="E196" i="496"/>
  <c r="H196" i="496"/>
  <c r="I196" i="496"/>
  <c r="AR196" i="496"/>
  <c r="AT196" i="496"/>
  <c r="AV196" i="496"/>
  <c r="C197" i="496"/>
  <c r="D197" i="496"/>
  <c r="E197" i="496"/>
  <c r="H197" i="496"/>
  <c r="I197" i="496"/>
  <c r="AR197" i="496"/>
  <c r="AT197" i="496"/>
  <c r="AV197" i="496"/>
  <c r="C198" i="496"/>
  <c r="D198" i="496"/>
  <c r="E198" i="496"/>
  <c r="H198" i="496"/>
  <c r="I198" i="496"/>
  <c r="AR198" i="496"/>
  <c r="AT198" i="496"/>
  <c r="AV198" i="496"/>
  <c r="C199" i="496"/>
  <c r="D199" i="496"/>
  <c r="E199" i="496"/>
  <c r="H199" i="496"/>
  <c r="I199" i="496"/>
  <c r="AR199" i="496"/>
  <c r="AT199" i="496"/>
  <c r="AV199" i="496"/>
  <c r="C200" i="496"/>
  <c r="D200" i="496"/>
  <c r="E200" i="496"/>
  <c r="H200" i="496"/>
  <c r="I200" i="496"/>
  <c r="AR200" i="496"/>
  <c r="AT200" i="496"/>
  <c r="AV200" i="496"/>
  <c r="C201" i="496"/>
  <c r="D201" i="496"/>
  <c r="E201" i="496"/>
  <c r="H201" i="496"/>
  <c r="I201" i="496"/>
  <c r="AR201" i="496"/>
  <c r="AT201" i="496"/>
  <c r="AV201" i="496"/>
  <c r="C202" i="496"/>
  <c r="D202" i="496"/>
  <c r="E202" i="496"/>
  <c r="H202" i="496"/>
  <c r="I202" i="496"/>
  <c r="AR202" i="496"/>
  <c r="AT202" i="496"/>
  <c r="AV202" i="496"/>
  <c r="C203" i="496"/>
  <c r="D203" i="496"/>
  <c r="E203" i="496"/>
  <c r="H203" i="496"/>
  <c r="I203" i="496"/>
  <c r="AR203" i="496"/>
  <c r="AT203" i="496"/>
  <c r="AV203" i="496"/>
  <c r="C184" i="496"/>
  <c r="D184" i="496"/>
  <c r="E184" i="496"/>
  <c r="H184" i="496"/>
  <c r="I184" i="496"/>
  <c r="AR184" i="496"/>
  <c r="AT184" i="496"/>
  <c r="AV184" i="496"/>
  <c r="C182" i="496"/>
  <c r="D182" i="496"/>
  <c r="E182" i="496"/>
  <c r="H182" i="496"/>
  <c r="I182" i="496"/>
  <c r="AR182" i="496"/>
  <c r="AT182" i="496"/>
  <c r="AV182" i="496"/>
  <c r="C175" i="496"/>
  <c r="D175" i="496"/>
  <c r="E175" i="496"/>
  <c r="H175" i="496"/>
  <c r="I175" i="496"/>
  <c r="AR175" i="496"/>
  <c r="AT175" i="496"/>
  <c r="AV175" i="496"/>
  <c r="C176" i="496"/>
  <c r="D176" i="496"/>
  <c r="E176" i="496"/>
  <c r="H176" i="496"/>
  <c r="I176" i="496"/>
  <c r="AR176" i="496"/>
  <c r="AT176" i="496"/>
  <c r="AV176" i="496"/>
  <c r="C172" i="496"/>
  <c r="D172" i="496"/>
  <c r="E172" i="496"/>
  <c r="H172" i="496"/>
  <c r="I172" i="496"/>
  <c r="AR172" i="496"/>
  <c r="AT172" i="496"/>
  <c r="AV172" i="496"/>
  <c r="C173" i="496"/>
  <c r="D173" i="496"/>
  <c r="E173" i="496"/>
  <c r="H173" i="496"/>
  <c r="I173" i="496"/>
  <c r="AR173" i="496"/>
  <c r="AT173" i="496"/>
  <c r="AV173" i="496"/>
  <c r="C168" i="496"/>
  <c r="D168" i="496"/>
  <c r="E168" i="496"/>
  <c r="H168" i="496"/>
  <c r="I168" i="496"/>
  <c r="AR168" i="496"/>
  <c r="AT168" i="496"/>
  <c r="AV168" i="496"/>
  <c r="C169" i="496"/>
  <c r="D169" i="496"/>
  <c r="E169" i="496"/>
  <c r="H169" i="496"/>
  <c r="I169" i="496"/>
  <c r="AR169" i="496"/>
  <c r="AT169" i="496"/>
  <c r="AV169" i="496"/>
  <c r="C151" i="496"/>
  <c r="D151" i="496"/>
  <c r="E151" i="496"/>
  <c r="H151" i="496"/>
  <c r="I151" i="496"/>
  <c r="AR151" i="496"/>
  <c r="AT151" i="496"/>
  <c r="AV151" i="496"/>
  <c r="C152" i="496"/>
  <c r="D152" i="496"/>
  <c r="E152" i="496"/>
  <c r="H152" i="496"/>
  <c r="I152" i="496"/>
  <c r="AR152" i="496"/>
  <c r="AT152" i="496"/>
  <c r="AV152" i="496"/>
  <c r="C153" i="496"/>
  <c r="D153" i="496"/>
  <c r="E153" i="496"/>
  <c r="H153" i="496"/>
  <c r="I153" i="496"/>
  <c r="AR153" i="496"/>
  <c r="AT153" i="496"/>
  <c r="AV153" i="496"/>
  <c r="C149" i="496"/>
  <c r="D149" i="496"/>
  <c r="E149" i="496"/>
  <c r="H149" i="496"/>
  <c r="I149" i="496"/>
  <c r="AR149" i="496"/>
  <c r="AT149" i="496"/>
  <c r="AV149" i="496"/>
  <c r="C143" i="496"/>
  <c r="D143" i="496"/>
  <c r="E143" i="496"/>
  <c r="H143" i="496"/>
  <c r="I143" i="496"/>
  <c r="AR143" i="496"/>
  <c r="AT143" i="496"/>
  <c r="AV143" i="496"/>
  <c r="C144" i="496"/>
  <c r="D144" i="496"/>
  <c r="E144" i="496"/>
  <c r="H144" i="496"/>
  <c r="I144" i="496"/>
  <c r="AR144" i="496"/>
  <c r="AT144" i="496"/>
  <c r="AV144" i="496"/>
  <c r="D9" i="498" l="1"/>
  <c r="AP5303" i="496" l="1"/>
  <c r="AV5302" i="496"/>
  <c r="AT5302" i="496"/>
  <c r="I5302" i="496"/>
  <c r="H5302" i="496"/>
  <c r="E5302" i="496"/>
  <c r="D5302" i="496"/>
  <c r="C5302" i="496"/>
  <c r="AV5301" i="496"/>
  <c r="AT5301" i="496"/>
  <c r="AR5301" i="496"/>
  <c r="I5301" i="496"/>
  <c r="H5301" i="496"/>
  <c r="E5301" i="496"/>
  <c r="D5301" i="496"/>
  <c r="C5301" i="496"/>
  <c r="AV5300" i="496"/>
  <c r="AT5300" i="496"/>
  <c r="AR5300" i="496"/>
  <c r="I5300" i="496"/>
  <c r="H5300" i="496"/>
  <c r="E5300" i="496"/>
  <c r="D5300" i="496"/>
  <c r="C5300" i="496"/>
  <c r="AV5299" i="496"/>
  <c r="AT5299" i="496"/>
  <c r="AR5299" i="496"/>
  <c r="I5299" i="496"/>
  <c r="H5299" i="496"/>
  <c r="E5299" i="496"/>
  <c r="D5299" i="496"/>
  <c r="C5299" i="496"/>
  <c r="AV5298" i="496"/>
  <c r="AT5298" i="496"/>
  <c r="AR5298" i="496"/>
  <c r="I5298" i="496"/>
  <c r="H5298" i="496"/>
  <c r="E5298" i="496"/>
  <c r="D5298" i="496"/>
  <c r="C5298" i="496"/>
  <c r="AV5297" i="496"/>
  <c r="AT5297" i="496"/>
  <c r="AR5297" i="496"/>
  <c r="I5297" i="496"/>
  <c r="H5297" i="496"/>
  <c r="E5297" i="496"/>
  <c r="D5297" i="496"/>
  <c r="C5297" i="496"/>
  <c r="AV5296" i="496"/>
  <c r="AT5296" i="496"/>
  <c r="AR5296" i="496"/>
  <c r="I5296" i="496"/>
  <c r="H5296" i="496"/>
  <c r="E5296" i="496"/>
  <c r="D5296" i="496"/>
  <c r="C5296" i="496"/>
  <c r="AV5295" i="496"/>
  <c r="AT5295" i="496"/>
  <c r="AR5295" i="496"/>
  <c r="I5295" i="496"/>
  <c r="H5295" i="496"/>
  <c r="E5295" i="496"/>
  <c r="D5295" i="496"/>
  <c r="C5295" i="496"/>
  <c r="AV5294" i="496"/>
  <c r="AT5294" i="496"/>
  <c r="AR5294" i="496"/>
  <c r="I5294" i="496"/>
  <c r="H5294" i="496"/>
  <c r="E5294" i="496"/>
  <c r="D5294" i="496"/>
  <c r="C5294" i="496"/>
  <c r="AV5293" i="496"/>
  <c r="AT5293" i="496"/>
  <c r="AR5293" i="496"/>
  <c r="I5293" i="496"/>
  <c r="H5293" i="496"/>
  <c r="E5293" i="496"/>
  <c r="D5293" i="496"/>
  <c r="C5293" i="496"/>
  <c r="AV5292" i="496"/>
  <c r="AT5292" i="496"/>
  <c r="AR5292" i="496"/>
  <c r="I5292" i="496"/>
  <c r="H5292" i="496"/>
  <c r="E5292" i="496"/>
  <c r="D5292" i="496"/>
  <c r="C5292" i="496"/>
  <c r="AV5291" i="496"/>
  <c r="AT5291" i="496"/>
  <c r="AR5291" i="496"/>
  <c r="I5291" i="496"/>
  <c r="H5291" i="496"/>
  <c r="E5291" i="496"/>
  <c r="D5291" i="496"/>
  <c r="C5291" i="496"/>
  <c r="AV5290" i="496"/>
  <c r="AT5290" i="496"/>
  <c r="AR5290" i="496"/>
  <c r="I5290" i="496"/>
  <c r="H5290" i="496"/>
  <c r="E5290" i="496"/>
  <c r="D5290" i="496"/>
  <c r="C5290" i="496"/>
  <c r="AV5289" i="496"/>
  <c r="AT5289" i="496"/>
  <c r="AR5289" i="496"/>
  <c r="I5289" i="496"/>
  <c r="H5289" i="496"/>
  <c r="E5289" i="496"/>
  <c r="D5289" i="496"/>
  <c r="C5289" i="496"/>
  <c r="AV5288" i="496"/>
  <c r="AT5288" i="496"/>
  <c r="AR5288" i="496"/>
  <c r="I5288" i="496"/>
  <c r="H5288" i="496"/>
  <c r="E5288" i="496"/>
  <c r="D5288" i="496"/>
  <c r="C5288" i="496"/>
  <c r="AV5287" i="496"/>
  <c r="AT5287" i="496"/>
  <c r="AR5287" i="496"/>
  <c r="I5287" i="496"/>
  <c r="H5287" i="496"/>
  <c r="E5287" i="496"/>
  <c r="D5287" i="496"/>
  <c r="C5287" i="496"/>
  <c r="AV5286" i="496"/>
  <c r="AT5286" i="496"/>
  <c r="AR5286" i="496"/>
  <c r="I5286" i="496"/>
  <c r="H5286" i="496"/>
  <c r="E5286" i="496"/>
  <c r="D5286" i="496"/>
  <c r="C5286" i="496"/>
  <c r="AV5285" i="496"/>
  <c r="AT5285" i="496"/>
  <c r="AR5285" i="496"/>
  <c r="I5285" i="496"/>
  <c r="H5285" i="496"/>
  <c r="E5285" i="496"/>
  <c r="D5285" i="496"/>
  <c r="C5285" i="496"/>
  <c r="AV5284" i="496"/>
  <c r="AT5284" i="496"/>
  <c r="AR5284" i="496"/>
  <c r="I5284" i="496"/>
  <c r="H5284" i="496"/>
  <c r="E5284" i="496"/>
  <c r="D5284" i="496"/>
  <c r="C5284" i="496"/>
  <c r="AV5283" i="496"/>
  <c r="AT5283" i="496"/>
  <c r="AR5283" i="496"/>
  <c r="I5283" i="496"/>
  <c r="H5283" i="496"/>
  <c r="E5283" i="496"/>
  <c r="D5283" i="496"/>
  <c r="C5283" i="496"/>
  <c r="AV5282" i="496"/>
  <c r="AT5282" i="496"/>
  <c r="AR5282" i="496"/>
  <c r="I5282" i="496"/>
  <c r="H5282" i="496"/>
  <c r="E5282" i="496"/>
  <c r="D5282" i="496"/>
  <c r="C5282" i="496"/>
  <c r="AV5281" i="496"/>
  <c r="AT5281" i="496"/>
  <c r="AR5281" i="496"/>
  <c r="I5281" i="496"/>
  <c r="H5281" i="496"/>
  <c r="E5281" i="496"/>
  <c r="D5281" i="496"/>
  <c r="C5281" i="496"/>
  <c r="AV5280" i="496"/>
  <c r="AT5280" i="496"/>
  <c r="AR5280" i="496"/>
  <c r="I5280" i="496"/>
  <c r="H5280" i="496"/>
  <c r="E5280" i="496"/>
  <c r="D5280" i="496"/>
  <c r="C5280" i="496"/>
  <c r="AV5279" i="496"/>
  <c r="AT5279" i="496"/>
  <c r="AR5279" i="496"/>
  <c r="I5279" i="496"/>
  <c r="H5279" i="496"/>
  <c r="E5279" i="496"/>
  <c r="D5279" i="496"/>
  <c r="C5279" i="496"/>
  <c r="AV5278" i="496"/>
  <c r="AT5278" i="496"/>
  <c r="AR5278" i="496"/>
  <c r="I5278" i="496"/>
  <c r="H5278" i="496"/>
  <c r="E5278" i="496"/>
  <c r="D5278" i="496"/>
  <c r="C5278" i="496"/>
  <c r="AV5277" i="496"/>
  <c r="AT5277" i="496"/>
  <c r="AR5277" i="496"/>
  <c r="I5277" i="496"/>
  <c r="H5277" i="496"/>
  <c r="E5277" i="496"/>
  <c r="D5277" i="496"/>
  <c r="C5277" i="496"/>
  <c r="AV5276" i="496"/>
  <c r="AT5276" i="496"/>
  <c r="AR5276" i="496"/>
  <c r="I5276" i="496"/>
  <c r="H5276" i="496"/>
  <c r="E5276" i="496"/>
  <c r="D5276" i="496"/>
  <c r="C5276" i="496"/>
  <c r="AV5275" i="496"/>
  <c r="AT5275" i="496"/>
  <c r="AR5275" i="496"/>
  <c r="I5275" i="496"/>
  <c r="H5275" i="496"/>
  <c r="E5275" i="496"/>
  <c r="D5275" i="496"/>
  <c r="C5275" i="496"/>
  <c r="AV5274" i="496"/>
  <c r="AT5274" i="496"/>
  <c r="AR5274" i="496"/>
  <c r="I5274" i="496"/>
  <c r="H5274" i="496"/>
  <c r="E5274" i="496"/>
  <c r="D5274" i="496"/>
  <c r="C5274" i="496"/>
  <c r="AV5273" i="496"/>
  <c r="AT5273" i="496"/>
  <c r="AR5273" i="496"/>
  <c r="I5273" i="496"/>
  <c r="H5273" i="496"/>
  <c r="E5273" i="496"/>
  <c r="D5273" i="496"/>
  <c r="C5273" i="496"/>
  <c r="AV5272" i="496"/>
  <c r="AT5272" i="496"/>
  <c r="AR5272" i="496"/>
  <c r="I5272" i="496"/>
  <c r="H5272" i="496"/>
  <c r="E5272" i="496"/>
  <c r="D5272" i="496"/>
  <c r="C5272" i="496"/>
  <c r="AV5271" i="496"/>
  <c r="AT5271" i="496"/>
  <c r="AR5271" i="496"/>
  <c r="I5271" i="496"/>
  <c r="H5271" i="496"/>
  <c r="E5271" i="496"/>
  <c r="D5271" i="496"/>
  <c r="C5271" i="496"/>
  <c r="AV5270" i="496"/>
  <c r="AT5270" i="496"/>
  <c r="AR5270" i="496"/>
  <c r="I5270" i="496"/>
  <c r="H5270" i="496"/>
  <c r="E5270" i="496"/>
  <c r="D5270" i="496"/>
  <c r="C5270" i="496"/>
  <c r="AV5269" i="496"/>
  <c r="AT5269" i="496"/>
  <c r="AR5269" i="496"/>
  <c r="I5269" i="496"/>
  <c r="H5269" i="496"/>
  <c r="E5269" i="496"/>
  <c r="D5269" i="496"/>
  <c r="C5269" i="496"/>
  <c r="AV5268" i="496"/>
  <c r="AT5268" i="496"/>
  <c r="AR5268" i="496"/>
  <c r="I5268" i="496"/>
  <c r="H5268" i="496"/>
  <c r="E5268" i="496"/>
  <c r="D5268" i="496"/>
  <c r="C5268" i="496"/>
  <c r="AV5267" i="496"/>
  <c r="AT5267" i="496"/>
  <c r="AR5267" i="496"/>
  <c r="I5267" i="496"/>
  <c r="H5267" i="496"/>
  <c r="E5267" i="496"/>
  <c r="D5267" i="496"/>
  <c r="C5267" i="496"/>
  <c r="AV5266" i="496"/>
  <c r="AT5266" i="496"/>
  <c r="AR5266" i="496"/>
  <c r="I5266" i="496"/>
  <c r="H5266" i="496"/>
  <c r="E5266" i="496"/>
  <c r="D5266" i="496"/>
  <c r="C5266" i="496"/>
  <c r="AV5265" i="496"/>
  <c r="AT5265" i="496"/>
  <c r="AR5265" i="496"/>
  <c r="I5265" i="496"/>
  <c r="H5265" i="496"/>
  <c r="E5265" i="496"/>
  <c r="D5265" i="496"/>
  <c r="C5265" i="496"/>
  <c r="AV5264" i="496"/>
  <c r="AT5264" i="496"/>
  <c r="AR5264" i="496"/>
  <c r="I5264" i="496"/>
  <c r="H5264" i="496"/>
  <c r="E5264" i="496"/>
  <c r="D5264" i="496"/>
  <c r="C5264" i="496"/>
  <c r="AV5263" i="496"/>
  <c r="AT5263" i="496"/>
  <c r="AR5263" i="496"/>
  <c r="I5263" i="496"/>
  <c r="H5263" i="496"/>
  <c r="E5263" i="496"/>
  <c r="D5263" i="496"/>
  <c r="C5263" i="496"/>
  <c r="AV5262" i="496"/>
  <c r="AT5262" i="496"/>
  <c r="AR5262" i="496"/>
  <c r="I5262" i="496"/>
  <c r="H5262" i="496"/>
  <c r="E5262" i="496"/>
  <c r="D5262" i="496"/>
  <c r="C5262" i="496"/>
  <c r="AV5261" i="496"/>
  <c r="AT5261" i="496"/>
  <c r="AR5261" i="496"/>
  <c r="I5261" i="496"/>
  <c r="H5261" i="496"/>
  <c r="E5261" i="496"/>
  <c r="D5261" i="496"/>
  <c r="C5261" i="496"/>
  <c r="AV5260" i="496"/>
  <c r="AT5260" i="496"/>
  <c r="AR5260" i="496"/>
  <c r="I5260" i="496"/>
  <c r="H5260" i="496"/>
  <c r="E5260" i="496"/>
  <c r="D5260" i="496"/>
  <c r="C5260" i="496"/>
  <c r="AV5259" i="496"/>
  <c r="AT5259" i="496"/>
  <c r="AR5259" i="496"/>
  <c r="I5259" i="496"/>
  <c r="H5259" i="496"/>
  <c r="E5259" i="496"/>
  <c r="D5259" i="496"/>
  <c r="C5259" i="496"/>
  <c r="AV5258" i="496"/>
  <c r="AT5258" i="496"/>
  <c r="AR5258" i="496"/>
  <c r="I5258" i="496"/>
  <c r="H5258" i="496"/>
  <c r="E5258" i="496"/>
  <c r="D5258" i="496"/>
  <c r="C5258" i="496"/>
  <c r="AV5257" i="496"/>
  <c r="AT5257" i="496"/>
  <c r="AR5257" i="496"/>
  <c r="I5257" i="496"/>
  <c r="H5257" i="496"/>
  <c r="E5257" i="496"/>
  <c r="D5257" i="496"/>
  <c r="C5257" i="496"/>
  <c r="AV5256" i="496"/>
  <c r="AT5256" i="496"/>
  <c r="AR5256" i="496"/>
  <c r="I5256" i="496"/>
  <c r="H5256" i="496"/>
  <c r="E5256" i="496"/>
  <c r="D5256" i="496"/>
  <c r="C5256" i="496"/>
  <c r="AV5255" i="496"/>
  <c r="AT5255" i="496"/>
  <c r="AR5255" i="496"/>
  <c r="I5255" i="496"/>
  <c r="H5255" i="496"/>
  <c r="E5255" i="496"/>
  <c r="D5255" i="496"/>
  <c r="C5255" i="496"/>
  <c r="AV5254" i="496"/>
  <c r="AT5254" i="496"/>
  <c r="AR5254" i="496"/>
  <c r="I5254" i="496"/>
  <c r="H5254" i="496"/>
  <c r="E5254" i="496"/>
  <c r="D5254" i="496"/>
  <c r="C5254" i="496"/>
  <c r="AV5253" i="496"/>
  <c r="AT5253" i="496"/>
  <c r="AR5253" i="496"/>
  <c r="I5253" i="496"/>
  <c r="H5253" i="496"/>
  <c r="E5253" i="496"/>
  <c r="D5253" i="496"/>
  <c r="C5253" i="496"/>
  <c r="AV5252" i="496"/>
  <c r="AT5252" i="496"/>
  <c r="AR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I5244" i="496"/>
  <c r="H5244" i="496"/>
  <c r="E5244" i="496"/>
  <c r="D5244" i="496"/>
  <c r="C5244" i="496"/>
  <c r="AV5243" i="496"/>
  <c r="AT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AR5226" i="496"/>
  <c r="I5226" i="496"/>
  <c r="H5226" i="496"/>
  <c r="E5226" i="496"/>
  <c r="D5226" i="496"/>
  <c r="C5226" i="496"/>
  <c r="AV5225" i="496"/>
  <c r="AT5225" i="496"/>
  <c r="AR5225" i="496"/>
  <c r="I5225" i="496"/>
  <c r="H5225" i="496"/>
  <c r="E5225" i="496"/>
  <c r="D5225" i="496"/>
  <c r="C5225" i="496"/>
  <c r="AV5224" i="496"/>
  <c r="AT5224" i="496"/>
  <c r="AR5224" i="496"/>
  <c r="I5224" i="496"/>
  <c r="H5224" i="496"/>
  <c r="E5224" i="496"/>
  <c r="D5224" i="496"/>
  <c r="C5224" i="496"/>
  <c r="AV5223" i="496"/>
  <c r="AT5223" i="496"/>
  <c r="AR5223" i="496"/>
  <c r="I5223" i="496"/>
  <c r="H5223" i="496"/>
  <c r="E5223" i="496"/>
  <c r="D5223" i="496"/>
  <c r="C5223" i="496"/>
  <c r="AV5222" i="496"/>
  <c r="AT5222" i="496"/>
  <c r="AR5222" i="496"/>
  <c r="I5222" i="496"/>
  <c r="H5222" i="496"/>
  <c r="E5222" i="496"/>
  <c r="D5222" i="496"/>
  <c r="C5222" i="496"/>
  <c r="AV5221" i="496"/>
  <c r="AT5221" i="496"/>
  <c r="AR5221" i="496"/>
  <c r="I5221" i="496"/>
  <c r="H5221" i="496"/>
  <c r="E5221" i="496"/>
  <c r="D5221" i="496"/>
  <c r="C5221" i="496"/>
  <c r="AV5220" i="496"/>
  <c r="AT5220" i="496"/>
  <c r="AR5220" i="496"/>
  <c r="I5220" i="496"/>
  <c r="H5220" i="496"/>
  <c r="E5220" i="496"/>
  <c r="D5220" i="496"/>
  <c r="C5220" i="496"/>
  <c r="AV5219" i="496"/>
  <c r="AT5219" i="496"/>
  <c r="AR5219" i="496"/>
  <c r="I5219" i="496"/>
  <c r="H5219" i="496"/>
  <c r="E5219" i="496"/>
  <c r="D5219" i="496"/>
  <c r="C5219" i="496"/>
  <c r="AV5218" i="496"/>
  <c r="AT5218" i="496"/>
  <c r="AR5218" i="496"/>
  <c r="I5218" i="496"/>
  <c r="H5218" i="496"/>
  <c r="E5218" i="496"/>
  <c r="D5218" i="496"/>
  <c r="C5218" i="496"/>
  <c r="AV5217" i="496"/>
  <c r="AT5217" i="496"/>
  <c r="AR5217" i="496"/>
  <c r="I5217" i="496"/>
  <c r="H5217" i="496"/>
  <c r="E5217" i="496"/>
  <c r="D5217" i="496"/>
  <c r="C5217" i="496"/>
  <c r="AV5216" i="496"/>
  <c r="AT5216" i="496"/>
  <c r="AR5216" i="496"/>
  <c r="I5216" i="496"/>
  <c r="H5216" i="496"/>
  <c r="E5216" i="496"/>
  <c r="D5216" i="496"/>
  <c r="C5216" i="496"/>
  <c r="AV5215" i="496"/>
  <c r="AT5215" i="496"/>
  <c r="AR5215" i="496"/>
  <c r="I5215" i="496"/>
  <c r="H5215" i="496"/>
  <c r="E5215" i="496"/>
  <c r="D5215" i="496"/>
  <c r="C5215" i="496"/>
  <c r="AV5214" i="496"/>
  <c r="AT5214" i="496"/>
  <c r="AR5214" i="496"/>
  <c r="I5214" i="496"/>
  <c r="H5214" i="496"/>
  <c r="E5214" i="496"/>
  <c r="D5214" i="496"/>
  <c r="C5214" i="496"/>
  <c r="AV5213" i="496"/>
  <c r="AT5213" i="496"/>
  <c r="AR5213" i="496"/>
  <c r="I5213" i="496"/>
  <c r="H5213" i="496"/>
  <c r="E5213" i="496"/>
  <c r="D5213" i="496"/>
  <c r="C5213" i="496"/>
  <c r="AV5212" i="496"/>
  <c r="AT5212" i="496"/>
  <c r="AR5212" i="496"/>
  <c r="I5212" i="496"/>
  <c r="H5212" i="496"/>
  <c r="E5212" i="496"/>
  <c r="D5212" i="496"/>
  <c r="C5212" i="496"/>
  <c r="AV5211" i="496"/>
  <c r="AT5211" i="496"/>
  <c r="AR5211" i="496"/>
  <c r="I5211" i="496"/>
  <c r="H5211" i="496"/>
  <c r="E5211" i="496"/>
  <c r="D5211" i="496"/>
  <c r="C5211" i="496"/>
  <c r="AV5210" i="496"/>
  <c r="AT5210" i="496"/>
  <c r="AR5210" i="496"/>
  <c r="I5210" i="496"/>
  <c r="H5210" i="496"/>
  <c r="E5210" i="496"/>
  <c r="D5210" i="496"/>
  <c r="C5210" i="496"/>
  <c r="AV5209" i="496"/>
  <c r="AT5209" i="496"/>
  <c r="AR5209" i="496"/>
  <c r="I5209" i="496"/>
  <c r="H5209" i="496"/>
  <c r="E5209" i="496"/>
  <c r="D5209" i="496"/>
  <c r="C5209" i="496"/>
  <c r="AV5208" i="496"/>
  <c r="AT5208" i="496"/>
  <c r="AR5208" i="496"/>
  <c r="I5208" i="496"/>
  <c r="H5208" i="496"/>
  <c r="E5208" i="496"/>
  <c r="D5208" i="496"/>
  <c r="C5208" i="496"/>
  <c r="AV5207" i="496"/>
  <c r="AT5207" i="496"/>
  <c r="AR5207" i="496"/>
  <c r="I5207" i="496"/>
  <c r="H5207" i="496"/>
  <c r="E5207" i="496"/>
  <c r="D5207" i="496"/>
  <c r="C5207" i="496"/>
  <c r="AV5206" i="496"/>
  <c r="AT5206" i="496"/>
  <c r="AR5206" i="496"/>
  <c r="I5206" i="496"/>
  <c r="H5206" i="496"/>
  <c r="E5206" i="496"/>
  <c r="D5206" i="496"/>
  <c r="C5206" i="496"/>
  <c r="AV5205" i="496"/>
  <c r="AT5205" i="496"/>
  <c r="AR5205" i="496"/>
  <c r="I5205" i="496"/>
  <c r="H5205" i="496"/>
  <c r="E5205" i="496"/>
  <c r="D5205" i="496"/>
  <c r="C5205" i="496"/>
  <c r="AV5204" i="496"/>
  <c r="AT5204" i="496"/>
  <c r="AR5204" i="496"/>
  <c r="I5204" i="496"/>
  <c r="H5204" i="496"/>
  <c r="E5204" i="496"/>
  <c r="D5204" i="496"/>
  <c r="C5204" i="496"/>
  <c r="AV5203" i="496"/>
  <c r="AT5203" i="496"/>
  <c r="AR5203" i="496"/>
  <c r="I5203" i="496"/>
  <c r="H5203" i="496"/>
  <c r="E5203" i="496"/>
  <c r="D5203" i="496"/>
  <c r="C5203" i="496"/>
  <c r="AV5202" i="496"/>
  <c r="AT5202" i="496"/>
  <c r="AR5202" i="496"/>
  <c r="I5202" i="496"/>
  <c r="H5202" i="496"/>
  <c r="E5202" i="496"/>
  <c r="D5202" i="496"/>
  <c r="C5202" i="496"/>
  <c r="AV5201" i="496"/>
  <c r="AT5201" i="496"/>
  <c r="AR5201" i="496"/>
  <c r="I5201" i="496"/>
  <c r="H5201" i="496"/>
  <c r="E5201" i="496"/>
  <c r="D5201" i="496"/>
  <c r="C5201" i="496"/>
  <c r="AV5200" i="496"/>
  <c r="AT5200" i="496"/>
  <c r="AR5200" i="496"/>
  <c r="I5200" i="496"/>
  <c r="H5200" i="496"/>
  <c r="E5200" i="496"/>
  <c r="D5200" i="496"/>
  <c r="C5200" i="496"/>
  <c r="AV5199" i="496"/>
  <c r="AT5199" i="496"/>
  <c r="AR5199" i="496"/>
  <c r="I5199" i="496"/>
  <c r="H5199" i="496"/>
  <c r="E5199" i="496"/>
  <c r="D5199" i="496"/>
  <c r="C5199" i="496"/>
  <c r="AV5198" i="496"/>
  <c r="AT5198" i="496"/>
  <c r="AR5198" i="496"/>
  <c r="I5198" i="496"/>
  <c r="H5198" i="496"/>
  <c r="E5198" i="496"/>
  <c r="D5198" i="496"/>
  <c r="C5198" i="496"/>
  <c r="AV5197" i="496"/>
  <c r="AT5197" i="496"/>
  <c r="AR5197" i="496"/>
  <c r="I5197" i="496"/>
  <c r="H5197" i="496"/>
  <c r="E5197" i="496"/>
  <c r="D5197" i="496"/>
  <c r="C5197" i="496"/>
  <c r="AV5196" i="496"/>
  <c r="AT5196" i="496"/>
  <c r="AR5196" i="496"/>
  <c r="I5196" i="496"/>
  <c r="H5196" i="496"/>
  <c r="E5196" i="496"/>
  <c r="D5196" i="496"/>
  <c r="C5196" i="496"/>
  <c r="AV5195" i="496"/>
  <c r="AT5195" i="496"/>
  <c r="AR5195" i="496"/>
  <c r="I5195" i="496"/>
  <c r="H5195" i="496"/>
  <c r="E5195" i="496"/>
  <c r="D5195" i="496"/>
  <c r="C5195" i="496"/>
  <c r="AV5194" i="496"/>
  <c r="AT5194" i="496"/>
  <c r="AR5194" i="496"/>
  <c r="I5194" i="496"/>
  <c r="H5194" i="496"/>
  <c r="E5194" i="496"/>
  <c r="D5194" i="496"/>
  <c r="C5194" i="496"/>
  <c r="AV5193" i="496"/>
  <c r="AT5193" i="496"/>
  <c r="AR5193" i="496"/>
  <c r="I5193" i="496"/>
  <c r="H5193" i="496"/>
  <c r="E5193" i="496"/>
  <c r="D5193" i="496"/>
  <c r="C5193" i="496"/>
  <c r="AV5192" i="496"/>
  <c r="AT5192" i="496"/>
  <c r="AR5192" i="496"/>
  <c r="I5192" i="496"/>
  <c r="H5192" i="496"/>
  <c r="E5192" i="496"/>
  <c r="D5192" i="496"/>
  <c r="C5192" i="496"/>
  <c r="AV5191" i="496"/>
  <c r="AT5191" i="496"/>
  <c r="AR5191" i="496"/>
  <c r="I5191" i="496"/>
  <c r="H5191" i="496"/>
  <c r="E5191" i="496"/>
  <c r="D5191" i="496"/>
  <c r="C5191" i="496"/>
  <c r="AV5190" i="496"/>
  <c r="AT5190" i="496"/>
  <c r="AR5190" i="496"/>
  <c r="I5190" i="496"/>
  <c r="H5190" i="496"/>
  <c r="E5190" i="496"/>
  <c r="D5190" i="496"/>
  <c r="C5190" i="496"/>
  <c r="AV5189" i="496"/>
  <c r="AT5189" i="496"/>
  <c r="AR5189" i="496"/>
  <c r="I5189" i="496"/>
  <c r="H5189" i="496"/>
  <c r="E5189" i="496"/>
  <c r="D5189" i="496"/>
  <c r="C5189" i="496"/>
  <c r="AV5188" i="496"/>
  <c r="AT5188" i="496"/>
  <c r="AR5188" i="496"/>
  <c r="I5188" i="496"/>
  <c r="H5188" i="496"/>
  <c r="E5188" i="496"/>
  <c r="D5188" i="496"/>
  <c r="C5188" i="496"/>
  <c r="AV5187" i="496"/>
  <c r="AT5187" i="496"/>
  <c r="AR5187" i="496"/>
  <c r="I5187" i="496"/>
  <c r="H5187" i="496"/>
  <c r="E5187" i="496"/>
  <c r="D5187" i="496"/>
  <c r="C5187" i="496"/>
  <c r="AV5186" i="496"/>
  <c r="AT5186" i="496"/>
  <c r="AR5186" i="496"/>
  <c r="I5186" i="496"/>
  <c r="H5186" i="496"/>
  <c r="E5186" i="496"/>
  <c r="D5186" i="496"/>
  <c r="C5186" i="496"/>
  <c r="AV5185" i="496"/>
  <c r="AT5185" i="496"/>
  <c r="AR5185" i="496"/>
  <c r="I5185" i="496"/>
  <c r="H5185" i="496"/>
  <c r="E5185" i="496"/>
  <c r="D5185" i="496"/>
  <c r="C5185" i="496"/>
  <c r="AV5184" i="496"/>
  <c r="AT5184" i="496"/>
  <c r="AR5184" i="496"/>
  <c r="I5184" i="496"/>
  <c r="H5184" i="496"/>
  <c r="E5184" i="496"/>
  <c r="D5184" i="496"/>
  <c r="C5184" i="496"/>
  <c r="AV5183" i="496"/>
  <c r="AT5183" i="496"/>
  <c r="AR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47" i="496"/>
  <c r="AT5147" i="496"/>
  <c r="I5147" i="496"/>
  <c r="H5147" i="496"/>
  <c r="E5147" i="496"/>
  <c r="D5147" i="496"/>
  <c r="C5147" i="496"/>
  <c r="AV5146" i="496"/>
  <c r="AT5146" i="496"/>
  <c r="AR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I5131" i="496"/>
  <c r="H5131" i="496"/>
  <c r="E5131" i="496"/>
  <c r="D5131" i="496"/>
  <c r="C5131" i="496"/>
  <c r="AV5130" i="496"/>
  <c r="AT5130" i="496"/>
  <c r="I5130" i="496"/>
  <c r="H5130" i="496"/>
  <c r="E5130" i="496"/>
  <c r="D5130" i="496"/>
  <c r="C5130" i="496"/>
  <c r="AV5129" i="496"/>
  <c r="AT5129" i="496"/>
  <c r="I5129" i="496"/>
  <c r="H5129" i="496"/>
  <c r="E5129" i="496"/>
  <c r="D5129" i="496"/>
  <c r="C5129" i="496"/>
  <c r="AV5128" i="496"/>
  <c r="AT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AR5086" i="496"/>
  <c r="I5086" i="496"/>
  <c r="H5086" i="496"/>
  <c r="E5086" i="496"/>
  <c r="D5086" i="496"/>
  <c r="C5086" i="496"/>
  <c r="AV5085" i="496"/>
  <c r="AT5085" i="496"/>
  <c r="AR5085" i="496"/>
  <c r="I5085" i="496"/>
  <c r="H5085" i="496"/>
  <c r="E5085" i="496"/>
  <c r="D5085" i="496"/>
  <c r="C5085" i="496"/>
  <c r="AV5084" i="496"/>
  <c r="AT5084" i="496"/>
  <c r="AR5084" i="496"/>
  <c r="I5084" i="496"/>
  <c r="H5084" i="496"/>
  <c r="E5084" i="496"/>
  <c r="D5084" i="496"/>
  <c r="C5084" i="496"/>
  <c r="AV5083" i="496"/>
  <c r="AT5083" i="496"/>
  <c r="AR5083" i="496"/>
  <c r="I5083" i="496"/>
  <c r="H5083" i="496"/>
  <c r="E5083" i="496"/>
  <c r="D5083" i="496"/>
  <c r="C5083" i="496"/>
  <c r="AV5082" i="496"/>
  <c r="AT5082" i="496"/>
  <c r="AR5082" i="496"/>
  <c r="I5082" i="496"/>
  <c r="H5082" i="496"/>
  <c r="E5082" i="496"/>
  <c r="D5082" i="496"/>
  <c r="C5082" i="496"/>
  <c r="AV5081" i="496"/>
  <c r="AT5081" i="496"/>
  <c r="AR5081" i="496"/>
  <c r="I5081" i="496"/>
  <c r="H5081" i="496"/>
  <c r="E5081" i="496"/>
  <c r="D5081" i="496"/>
  <c r="C5081" i="496"/>
  <c r="AV5080" i="496"/>
  <c r="AT5080" i="496"/>
  <c r="AR5080" i="496"/>
  <c r="I5080" i="496"/>
  <c r="H5080" i="496"/>
  <c r="E5080" i="496"/>
  <c r="D5080" i="496"/>
  <c r="C5080" i="496"/>
  <c r="AV5079" i="496"/>
  <c r="AT5079" i="496"/>
  <c r="AR5079" i="496"/>
  <c r="I5079" i="496"/>
  <c r="H5079" i="496"/>
  <c r="E5079" i="496"/>
  <c r="D5079" i="496"/>
  <c r="C5079" i="496"/>
  <c r="AV5078" i="496"/>
  <c r="AT5078" i="496"/>
  <c r="AR5078" i="496"/>
  <c r="I5078" i="496"/>
  <c r="H5078" i="496"/>
  <c r="E5078" i="496"/>
  <c r="D5078" i="496"/>
  <c r="C5078" i="496"/>
  <c r="AV5077" i="496"/>
  <c r="AT5077" i="496"/>
  <c r="AR5077" i="496"/>
  <c r="I5077" i="496"/>
  <c r="H5077" i="496"/>
  <c r="E5077" i="496"/>
  <c r="D5077" i="496"/>
  <c r="C5077" i="496"/>
  <c r="AV5076" i="496"/>
  <c r="AT5076" i="496"/>
  <c r="AR5076" i="496"/>
  <c r="I5076" i="496"/>
  <c r="H5076" i="496"/>
  <c r="E5076" i="496"/>
  <c r="D5076" i="496"/>
  <c r="C5076" i="496"/>
  <c r="AV5075" i="496"/>
  <c r="AT5075" i="496"/>
  <c r="AR5075" i="496"/>
  <c r="I5075" i="496"/>
  <c r="H5075" i="496"/>
  <c r="E5075" i="496"/>
  <c r="D5075" i="496"/>
  <c r="C5075" i="496"/>
  <c r="AV5074" i="496"/>
  <c r="AT5074" i="496"/>
  <c r="AR5074" i="496"/>
  <c r="I5074" i="496"/>
  <c r="H5074" i="496"/>
  <c r="E5074" i="496"/>
  <c r="D5074" i="496"/>
  <c r="C5074" i="496"/>
  <c r="AV5073" i="496"/>
  <c r="AT5073" i="496"/>
  <c r="AR5073" i="496"/>
  <c r="I5073" i="496"/>
  <c r="H5073" i="496"/>
  <c r="E5073" i="496"/>
  <c r="D5073" i="496"/>
  <c r="C5073" i="496"/>
  <c r="AV5072" i="496"/>
  <c r="AT5072" i="496"/>
  <c r="AR5072" i="496"/>
  <c r="I5072" i="496"/>
  <c r="H5072" i="496"/>
  <c r="E5072" i="496"/>
  <c r="D5072" i="496"/>
  <c r="C5072" i="496"/>
  <c r="AV5071" i="496"/>
  <c r="AT5071" i="496"/>
  <c r="AR5071" i="496"/>
  <c r="I5071" i="496"/>
  <c r="H5071" i="496"/>
  <c r="E5071" i="496"/>
  <c r="D5071" i="496"/>
  <c r="C5071" i="496"/>
  <c r="AV5070" i="496"/>
  <c r="AT5070" i="496"/>
  <c r="AR5070" i="496"/>
  <c r="I5070" i="496"/>
  <c r="H5070" i="496"/>
  <c r="E5070" i="496"/>
  <c r="D5070" i="496"/>
  <c r="C5070" i="496"/>
  <c r="AV5069" i="496"/>
  <c r="AT5069" i="496"/>
  <c r="AR5069" i="496"/>
  <c r="I5069" i="496"/>
  <c r="H5069" i="496"/>
  <c r="E5069" i="496"/>
  <c r="D5069" i="496"/>
  <c r="C5069" i="496"/>
  <c r="AV5068" i="496"/>
  <c r="AT5068" i="496"/>
  <c r="AR5068" i="496"/>
  <c r="I5068" i="496"/>
  <c r="H5068" i="496"/>
  <c r="E5068" i="496"/>
  <c r="D5068" i="496"/>
  <c r="C5068" i="496"/>
  <c r="AV5067" i="496"/>
  <c r="AT5067" i="496"/>
  <c r="AR5067" i="496"/>
  <c r="I5067" i="496"/>
  <c r="H5067" i="496"/>
  <c r="E5067" i="496"/>
  <c r="D5067" i="496"/>
  <c r="C5067" i="496"/>
  <c r="AV5066" i="496"/>
  <c r="AT5066" i="496"/>
  <c r="AR5066" i="496"/>
  <c r="I5066" i="496"/>
  <c r="H5066" i="496"/>
  <c r="E5066" i="496"/>
  <c r="D5066" i="496"/>
  <c r="C5066" i="496"/>
  <c r="AV5065" i="496"/>
  <c r="AT5065" i="496"/>
  <c r="AR5065" i="496"/>
  <c r="I5065" i="496"/>
  <c r="H5065" i="496"/>
  <c r="E5065" i="496"/>
  <c r="D5065" i="496"/>
  <c r="C5065" i="496"/>
  <c r="AV5064" i="496"/>
  <c r="AT5064" i="496"/>
  <c r="AR5064" i="496"/>
  <c r="I5064" i="496"/>
  <c r="H5064" i="496"/>
  <c r="E5064" i="496"/>
  <c r="D5064" i="496"/>
  <c r="C5064" i="496"/>
  <c r="AV5063" i="496"/>
  <c r="AT5063" i="496"/>
  <c r="AR5063" i="496"/>
  <c r="I5063" i="496"/>
  <c r="H5063" i="496"/>
  <c r="E5063" i="496"/>
  <c r="D5063" i="496"/>
  <c r="C5063" i="496"/>
  <c r="AV5062" i="496"/>
  <c r="AT5062" i="496"/>
  <c r="AR5062" i="496"/>
  <c r="I5062" i="496"/>
  <c r="H5062" i="496"/>
  <c r="E5062" i="496"/>
  <c r="D5062" i="496"/>
  <c r="C5062" i="496"/>
  <c r="AV5061" i="496"/>
  <c r="AT5061" i="496"/>
  <c r="AR5061" i="496"/>
  <c r="I5061" i="496"/>
  <c r="H5061" i="496"/>
  <c r="E5061" i="496"/>
  <c r="D5061" i="496"/>
  <c r="C5061" i="496"/>
  <c r="AV5060" i="496"/>
  <c r="AT5060" i="496"/>
  <c r="AR5060" i="496"/>
  <c r="I5060" i="496"/>
  <c r="H5060" i="496"/>
  <c r="E5060" i="496"/>
  <c r="D5060" i="496"/>
  <c r="C5060" i="496"/>
  <c r="AV5059" i="496"/>
  <c r="AT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AR5057" i="496"/>
  <c r="I5057" i="496"/>
  <c r="H5057" i="496"/>
  <c r="E5057" i="496"/>
  <c r="D5057" i="496"/>
  <c r="C5057" i="496"/>
  <c r="AV5056" i="496"/>
  <c r="AT5056" i="496"/>
  <c r="I5056" i="496"/>
  <c r="H5056" i="496"/>
  <c r="E5056" i="496"/>
  <c r="D5056" i="496"/>
  <c r="C5056" i="496"/>
  <c r="AV5055" i="496"/>
  <c r="AT5055" i="496"/>
  <c r="I5055" i="496"/>
  <c r="H5055" i="496"/>
  <c r="E5055" i="496"/>
  <c r="D5055" i="496"/>
  <c r="C5055" i="496"/>
  <c r="AV5054" i="496"/>
  <c r="AT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I5037" i="496"/>
  <c r="H5037" i="496"/>
  <c r="E5037" i="496"/>
  <c r="D5037" i="496"/>
  <c r="C5037" i="496"/>
  <c r="AV5036" i="496"/>
  <c r="AT5036" i="496"/>
  <c r="I5036" i="496"/>
  <c r="H5036" i="496"/>
  <c r="E5036" i="496"/>
  <c r="D5036" i="496"/>
  <c r="C5036" i="496"/>
  <c r="AV5035" i="496"/>
  <c r="AT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AR4980" i="496"/>
  <c r="I4980" i="496"/>
  <c r="H4980" i="496"/>
  <c r="E4980" i="496"/>
  <c r="D4980" i="496"/>
  <c r="C4980" i="496"/>
  <c r="AV4979" i="496"/>
  <c r="AT4979" i="496"/>
  <c r="AR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AR4903" i="496"/>
  <c r="I4903" i="496"/>
  <c r="H4903" i="496"/>
  <c r="E4903" i="496"/>
  <c r="D4903" i="496"/>
  <c r="C4903" i="496"/>
  <c r="AV4902" i="496"/>
  <c r="AT4902" i="496"/>
  <c r="AR4902" i="496"/>
  <c r="I4902" i="496"/>
  <c r="H4902" i="496"/>
  <c r="E4902" i="496"/>
  <c r="D4902" i="496"/>
  <c r="C4902" i="496"/>
  <c r="AV4901" i="496"/>
  <c r="AU4901" i="496"/>
  <c r="AT4901" i="496"/>
  <c r="AR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AR4742" i="496"/>
  <c r="I4742" i="496"/>
  <c r="H4742" i="496"/>
  <c r="E4742" i="496"/>
  <c r="D4742" i="496"/>
  <c r="C4742" i="496"/>
  <c r="AV4741" i="496"/>
  <c r="I4741" i="496"/>
  <c r="H4741" i="496"/>
  <c r="E4741" i="496"/>
  <c r="D4741" i="496"/>
  <c r="C4741" i="496"/>
  <c r="AV4740" i="496"/>
  <c r="I4740" i="496"/>
  <c r="H4740" i="496"/>
  <c r="E4740" i="496"/>
  <c r="D4740" i="496"/>
  <c r="C4740" i="496"/>
  <c r="AV4739" i="496"/>
  <c r="I4739" i="496"/>
  <c r="H4739" i="496"/>
  <c r="E4739" i="496"/>
  <c r="D4739" i="496"/>
  <c r="C4739" i="496"/>
  <c r="AV4738" i="496"/>
  <c r="I4738" i="496"/>
  <c r="H4738" i="496"/>
  <c r="E4738" i="496"/>
  <c r="D4738" i="496"/>
  <c r="C4738" i="496"/>
  <c r="AV4737" i="496"/>
  <c r="I4737" i="496"/>
  <c r="H4737" i="496"/>
  <c r="E4737" i="496"/>
  <c r="D4737" i="496"/>
  <c r="C4737" i="496"/>
  <c r="AV4736" i="496"/>
  <c r="I4736" i="496"/>
  <c r="H4736" i="496"/>
  <c r="E4736" i="496"/>
  <c r="D4736" i="496"/>
  <c r="C4736" i="496"/>
  <c r="AV4735" i="496"/>
  <c r="I4735" i="496"/>
  <c r="H4735" i="496"/>
  <c r="E4735" i="496"/>
  <c r="D4735" i="496"/>
  <c r="C4735" i="496"/>
  <c r="AV4734" i="496"/>
  <c r="I4734" i="496"/>
  <c r="H4734" i="496"/>
  <c r="E4734" i="496"/>
  <c r="D4734" i="496"/>
  <c r="C4734" i="496"/>
  <c r="AV4733" i="496"/>
  <c r="I4733" i="496"/>
  <c r="H4733" i="496"/>
  <c r="E4733" i="496"/>
  <c r="D4733" i="496"/>
  <c r="C4733" i="496"/>
  <c r="AV4732" i="496"/>
  <c r="I4732" i="496"/>
  <c r="H4732" i="496"/>
  <c r="E4732" i="496"/>
  <c r="D4732" i="496"/>
  <c r="C4732" i="496"/>
  <c r="AV4731" i="496"/>
  <c r="I4731" i="496"/>
  <c r="H4731" i="496"/>
  <c r="E4731" i="496"/>
  <c r="D4731" i="496"/>
  <c r="C4731" i="496"/>
  <c r="AV4730" i="496"/>
  <c r="I4730" i="496"/>
  <c r="H4730" i="496"/>
  <c r="E4730" i="496"/>
  <c r="D4730" i="496"/>
  <c r="C4730" i="496"/>
  <c r="AV4729" i="496"/>
  <c r="I4729" i="496"/>
  <c r="H4729" i="496"/>
  <c r="E4729" i="496"/>
  <c r="D4729" i="496"/>
  <c r="C4729" i="496"/>
  <c r="AV4728" i="496"/>
  <c r="I4728" i="496"/>
  <c r="H4728" i="496"/>
  <c r="E4728" i="496"/>
  <c r="D4728" i="496"/>
  <c r="C4728" i="496"/>
  <c r="AV4727" i="496"/>
  <c r="I4727" i="496"/>
  <c r="H4727" i="496"/>
  <c r="E4727" i="496"/>
  <c r="D4727" i="496"/>
  <c r="C4727" i="496"/>
  <c r="AV4726" i="496"/>
  <c r="I4726" i="496"/>
  <c r="H4726" i="496"/>
  <c r="E4726" i="496"/>
  <c r="D4726" i="496"/>
  <c r="C4726" i="496"/>
  <c r="AV4725" i="496"/>
  <c r="I4725" i="496"/>
  <c r="H4725" i="496"/>
  <c r="E4725" i="496"/>
  <c r="D4725" i="496"/>
  <c r="C4725" i="496"/>
  <c r="AV4724" i="496"/>
  <c r="I4724" i="496"/>
  <c r="H4724" i="496"/>
  <c r="E4724" i="496"/>
  <c r="D4724" i="496"/>
  <c r="C4724" i="496"/>
  <c r="AV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AR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I4696" i="496"/>
  <c r="H4696" i="496"/>
  <c r="E4696" i="496"/>
  <c r="D4696" i="496"/>
  <c r="C4696" i="496"/>
  <c r="AV4695" i="496"/>
  <c r="AT4695" i="496"/>
  <c r="I4695" i="496"/>
  <c r="H4695" i="496"/>
  <c r="E4695" i="496"/>
  <c r="D4695" i="496"/>
  <c r="C4695" i="496"/>
  <c r="AV4694" i="496"/>
  <c r="AT4694" i="496"/>
  <c r="I4694" i="496"/>
  <c r="H4694" i="496"/>
  <c r="E4694" i="496"/>
  <c r="D4694" i="496"/>
  <c r="C4694" i="496"/>
  <c r="AV4693" i="496"/>
  <c r="AT4693" i="496"/>
  <c r="I4693" i="496"/>
  <c r="H4693" i="496"/>
  <c r="E4693" i="496"/>
  <c r="D4693" i="496"/>
  <c r="C4693" i="496"/>
  <c r="AV4692" i="496"/>
  <c r="AT4692" i="496"/>
  <c r="I4692" i="496"/>
  <c r="H4692" i="496"/>
  <c r="E4692" i="496"/>
  <c r="D4692" i="496"/>
  <c r="C4692" i="496"/>
  <c r="AV4691" i="496"/>
  <c r="AT4691" i="496"/>
  <c r="I4691" i="496"/>
  <c r="H4691" i="496"/>
  <c r="E4691" i="496"/>
  <c r="D4691" i="496"/>
  <c r="C4691" i="496"/>
  <c r="AV4690" i="496"/>
  <c r="AT4690" i="496"/>
  <c r="I4690" i="496"/>
  <c r="H4690" i="496"/>
  <c r="E4690" i="496"/>
  <c r="D4690" i="496"/>
  <c r="C4690" i="496"/>
  <c r="AV4689" i="496"/>
  <c r="AT4689" i="496"/>
  <c r="I4689" i="496"/>
  <c r="H4689" i="496"/>
  <c r="E4689" i="496"/>
  <c r="D4689" i="496"/>
  <c r="C4689" i="496"/>
  <c r="AV4688" i="496"/>
  <c r="AT4688" i="496"/>
  <c r="I4688" i="496"/>
  <c r="H4688" i="496"/>
  <c r="E4688" i="496"/>
  <c r="D4688" i="496"/>
  <c r="C4688" i="496"/>
  <c r="AV4687" i="496"/>
  <c r="AT4687" i="496"/>
  <c r="AR4687" i="496"/>
  <c r="I4687" i="496"/>
  <c r="H4687" i="496"/>
  <c r="E4687" i="496"/>
  <c r="D4687" i="496"/>
  <c r="C4687" i="496"/>
  <c r="AV4686" i="496"/>
  <c r="AT4686" i="496"/>
  <c r="AR4686" i="496"/>
  <c r="I4686" i="496"/>
  <c r="H4686" i="496"/>
  <c r="E4686" i="496"/>
  <c r="D4686" i="496"/>
  <c r="C4686" i="496"/>
  <c r="AV4685" i="496"/>
  <c r="AT4685" i="496"/>
  <c r="AR4685" i="496"/>
  <c r="I4685" i="496"/>
  <c r="H4685" i="496"/>
  <c r="E4685" i="496"/>
  <c r="D4685" i="496"/>
  <c r="C4685" i="496"/>
  <c r="AV4684" i="496"/>
  <c r="AT4684" i="496"/>
  <c r="AR4684" i="496"/>
  <c r="I4684" i="496"/>
  <c r="H4684" i="496"/>
  <c r="E4684" i="496"/>
  <c r="D4684" i="496"/>
  <c r="C4684" i="496"/>
  <c r="AV4683" i="496"/>
  <c r="AT4683" i="496"/>
  <c r="AR4683" i="496"/>
  <c r="I4683" i="496"/>
  <c r="H4683" i="496"/>
  <c r="E4683" i="496"/>
  <c r="D4683" i="496"/>
  <c r="C4683" i="496"/>
  <c r="AV4682" i="496"/>
  <c r="AT4682" i="496"/>
  <c r="AR4682" i="496"/>
  <c r="I4682" i="496"/>
  <c r="H4682" i="496"/>
  <c r="E4682" i="496"/>
  <c r="D4682" i="496"/>
  <c r="C4682" i="496"/>
  <c r="AV4681" i="496"/>
  <c r="AT4681" i="496"/>
  <c r="AR4681" i="496"/>
  <c r="I4681" i="496"/>
  <c r="H4681" i="496"/>
  <c r="E4681" i="496"/>
  <c r="D4681" i="496"/>
  <c r="C4681" i="496"/>
  <c r="AV4680" i="496"/>
  <c r="AT4680" i="496"/>
  <c r="AR4680" i="496"/>
  <c r="I4680" i="496"/>
  <c r="H4680" i="496"/>
  <c r="E4680" i="496"/>
  <c r="D4680" i="496"/>
  <c r="C4680" i="496"/>
  <c r="AV4679" i="496"/>
  <c r="AT4679" i="496"/>
  <c r="I4679" i="496"/>
  <c r="H4679" i="496"/>
  <c r="E4679" i="496"/>
  <c r="D4679" i="496"/>
  <c r="C4679" i="496"/>
  <c r="AV4678" i="496"/>
  <c r="AT4678" i="496"/>
  <c r="I4678" i="496"/>
  <c r="H4678" i="496"/>
  <c r="E4678" i="496"/>
  <c r="D4678" i="496"/>
  <c r="C4678" i="496"/>
  <c r="AV4677" i="496"/>
  <c r="AT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I4658" i="496"/>
  <c r="H4658" i="496"/>
  <c r="E4658" i="496"/>
  <c r="D4658" i="496"/>
  <c r="C4658" i="496"/>
  <c r="AV4657" i="496"/>
  <c r="AT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I4655" i="496"/>
  <c r="H4655" i="496"/>
  <c r="E4655" i="496"/>
  <c r="D4655" i="496"/>
  <c r="C4655" i="496"/>
  <c r="AV4654" i="496"/>
  <c r="AT4654" i="496"/>
  <c r="I4654" i="496"/>
  <c r="H4654" i="496"/>
  <c r="E4654" i="496"/>
  <c r="D4654" i="496"/>
  <c r="C4654" i="496"/>
  <c r="AV4653" i="496"/>
  <c r="AT4653" i="496"/>
  <c r="I4653" i="496"/>
  <c r="H4653" i="496"/>
  <c r="E4653" i="496"/>
  <c r="D4653" i="496"/>
  <c r="C4653" i="496"/>
  <c r="AV4652" i="496"/>
  <c r="AT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AR4577" i="496"/>
  <c r="I4577" i="496"/>
  <c r="H4577" i="496"/>
  <c r="E4577" i="496"/>
  <c r="D4577" i="496"/>
  <c r="C4577" i="496"/>
  <c r="AV4576" i="496"/>
  <c r="AT4576" i="496"/>
  <c r="AR4576" i="496"/>
  <c r="I4576" i="496"/>
  <c r="H4576" i="496"/>
  <c r="E4576" i="496"/>
  <c r="D4576" i="496"/>
  <c r="C4576" i="496"/>
  <c r="AV4575" i="496"/>
  <c r="AT4575" i="496"/>
  <c r="AR4575" i="496"/>
  <c r="I4575" i="496"/>
  <c r="H4575" i="496"/>
  <c r="E4575" i="496"/>
  <c r="D4575" i="496"/>
  <c r="C4575" i="496"/>
  <c r="AV4574" i="496"/>
  <c r="AT4574" i="496"/>
  <c r="AR4574" i="496"/>
  <c r="I4574" i="496"/>
  <c r="H4574" i="496"/>
  <c r="E4574" i="496"/>
  <c r="D4574" i="496"/>
  <c r="C4574" i="496"/>
  <c r="AV4573" i="496"/>
  <c r="AT4573" i="496"/>
  <c r="AR4573" i="496"/>
  <c r="I4573" i="496"/>
  <c r="H4573" i="496"/>
  <c r="E4573" i="496"/>
  <c r="D4573" i="496"/>
  <c r="C4573" i="496"/>
  <c r="AV4572" i="496"/>
  <c r="AT4572" i="496"/>
  <c r="AR4572" i="496"/>
  <c r="I4572" i="496"/>
  <c r="H4572" i="496"/>
  <c r="E4572" i="496"/>
  <c r="D4572" i="496"/>
  <c r="C4572" i="496"/>
  <c r="AV4571" i="496"/>
  <c r="AT4571" i="496"/>
  <c r="AR4571" i="496"/>
  <c r="I4571" i="496"/>
  <c r="H4571" i="496"/>
  <c r="E4571" i="496"/>
  <c r="D4571" i="496"/>
  <c r="C4571" i="496"/>
  <c r="AV4570" i="496"/>
  <c r="AT4570" i="496"/>
  <c r="AR4570" i="496"/>
  <c r="I4570" i="496"/>
  <c r="H4570" i="496"/>
  <c r="E4570" i="496"/>
  <c r="D4570" i="496"/>
  <c r="C4570" i="496"/>
  <c r="AV4569" i="496"/>
  <c r="AT4569" i="496"/>
  <c r="AR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I4506" i="496"/>
  <c r="H4506" i="496"/>
  <c r="E4506" i="496"/>
  <c r="D4506" i="496"/>
  <c r="C4506" i="496"/>
  <c r="AV4505" i="496"/>
  <c r="AT4505" i="496"/>
  <c r="I4505" i="496"/>
  <c r="H4505" i="496"/>
  <c r="E4505" i="496"/>
  <c r="D4505" i="496"/>
  <c r="C4505" i="496"/>
  <c r="AV4504" i="496"/>
  <c r="AT4504" i="496"/>
  <c r="I4504" i="496"/>
  <c r="H4504" i="496"/>
  <c r="E4504" i="496"/>
  <c r="D4504" i="496"/>
  <c r="C4504" i="496"/>
  <c r="AV4503" i="496"/>
  <c r="AT4503" i="496"/>
  <c r="I4503" i="496"/>
  <c r="H4503" i="496"/>
  <c r="E4503" i="496"/>
  <c r="D4503" i="496"/>
  <c r="C4503" i="496"/>
  <c r="AV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AR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AR4382" i="496"/>
  <c r="I4382" i="496"/>
  <c r="H4382" i="496"/>
  <c r="E4382" i="496"/>
  <c r="D4382" i="496"/>
  <c r="C4382" i="496"/>
  <c r="AV4381" i="496"/>
  <c r="AT4381" i="496"/>
  <c r="AR4381" i="496"/>
  <c r="I4381" i="496"/>
  <c r="H4381" i="496"/>
  <c r="E4381" i="496"/>
  <c r="D4381" i="496"/>
  <c r="C4381" i="496"/>
  <c r="AV4380" i="496"/>
  <c r="AT4380" i="496"/>
  <c r="AR4380" i="496"/>
  <c r="I4380" i="496"/>
  <c r="H4380" i="496"/>
  <c r="E4380" i="496"/>
  <c r="D4380" i="496"/>
  <c r="C4380" i="496"/>
  <c r="AV4379" i="496"/>
  <c r="AT4379" i="496"/>
  <c r="AR4379" i="496"/>
  <c r="I4379" i="496"/>
  <c r="H4379" i="496"/>
  <c r="E4379" i="496"/>
  <c r="D4379" i="496"/>
  <c r="C4379" i="496"/>
  <c r="AV4378" i="496"/>
  <c r="AT4378" i="496"/>
  <c r="AR4378" i="496"/>
  <c r="I4378" i="496"/>
  <c r="H4378" i="496"/>
  <c r="E4378" i="496"/>
  <c r="D4378" i="496"/>
  <c r="C4378" i="496"/>
  <c r="AV4377" i="496"/>
  <c r="AT4377" i="496"/>
  <c r="AR4377" i="496"/>
  <c r="I4377" i="496"/>
  <c r="H4377" i="496"/>
  <c r="E4377" i="496"/>
  <c r="D4377" i="496"/>
  <c r="C4377" i="496"/>
  <c r="AV4376" i="496"/>
  <c r="AT4376" i="496"/>
  <c r="AR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AR4112" i="496"/>
  <c r="I4112" i="496"/>
  <c r="H4112" i="496"/>
  <c r="E4112" i="496"/>
  <c r="D4112" i="496"/>
  <c r="C4112" i="496"/>
  <c r="AV4111" i="496"/>
  <c r="AT4111" i="496"/>
  <c r="AR4111" i="496"/>
  <c r="I4111" i="496"/>
  <c r="H4111" i="496"/>
  <c r="E4111" i="496"/>
  <c r="D4111" i="496"/>
  <c r="C4111" i="496"/>
  <c r="AV4110" i="496"/>
  <c r="AT4110" i="496"/>
  <c r="AR4110" i="496"/>
  <c r="I4110" i="496"/>
  <c r="H4110" i="496"/>
  <c r="E4110" i="496"/>
  <c r="D4110" i="496"/>
  <c r="C4110" i="496"/>
  <c r="AV4109" i="496"/>
  <c r="AT4109" i="496"/>
  <c r="AR4109" i="496"/>
  <c r="I4109" i="496"/>
  <c r="H4109" i="496"/>
  <c r="E4109" i="496"/>
  <c r="D4109" i="496"/>
  <c r="C4109" i="496"/>
  <c r="AV4108" i="496"/>
  <c r="AT4108" i="496"/>
  <c r="AR4108" i="496"/>
  <c r="I4108" i="496"/>
  <c r="H4108" i="496"/>
  <c r="E4108" i="496"/>
  <c r="D4108" i="496"/>
  <c r="C4108" i="496"/>
  <c r="AV4107" i="496"/>
  <c r="AT4107" i="496"/>
  <c r="AR4107" i="496"/>
  <c r="I4107" i="496"/>
  <c r="H4107" i="496"/>
  <c r="E4107" i="496"/>
  <c r="D4107" i="496"/>
  <c r="C4107" i="496"/>
  <c r="AV4106" i="496"/>
  <c r="AT4106" i="496"/>
  <c r="AR4106" i="496"/>
  <c r="I4106" i="496"/>
  <c r="H4106" i="496"/>
  <c r="E4106" i="496"/>
  <c r="D4106" i="496"/>
  <c r="C4106" i="496"/>
  <c r="AV4105" i="496"/>
  <c r="AT4105" i="496"/>
  <c r="AR4105" i="496"/>
  <c r="I4105" i="496"/>
  <c r="H4105" i="496"/>
  <c r="E4105" i="496"/>
  <c r="D4105" i="496"/>
  <c r="C4105" i="496"/>
  <c r="AV4104" i="496"/>
  <c r="AT4104" i="496"/>
  <c r="AR4104" i="496"/>
  <c r="I4104" i="496"/>
  <c r="H4104" i="496"/>
  <c r="E4104" i="496"/>
  <c r="D4104" i="496"/>
  <c r="C4104" i="496"/>
  <c r="AV4103" i="496"/>
  <c r="AT4103" i="496"/>
  <c r="AR4103" i="496"/>
  <c r="I4103" i="496"/>
  <c r="H4103" i="496"/>
  <c r="E4103" i="496"/>
  <c r="D4103" i="496"/>
  <c r="C4103" i="496"/>
  <c r="AV4102" i="496"/>
  <c r="AT4102" i="496"/>
  <c r="AR4102" i="496"/>
  <c r="I4102" i="496"/>
  <c r="H4102" i="496"/>
  <c r="E4102" i="496"/>
  <c r="D4102" i="496"/>
  <c r="C4102" i="496"/>
  <c r="AV4101" i="496"/>
  <c r="AT4101" i="496"/>
  <c r="AR4101" i="496"/>
  <c r="I4101" i="496"/>
  <c r="H4101" i="496"/>
  <c r="E4101" i="496"/>
  <c r="D4101" i="496"/>
  <c r="C4101" i="496"/>
  <c r="AV4100" i="496"/>
  <c r="AT4100" i="496"/>
  <c r="AR4100" i="496"/>
  <c r="I4100" i="496"/>
  <c r="H4100" i="496"/>
  <c r="E4100" i="496"/>
  <c r="D4100" i="496"/>
  <c r="C4100" i="496"/>
  <c r="AV4099" i="496"/>
  <c r="AT4099" i="496"/>
  <c r="AR4099" i="496"/>
  <c r="I4099" i="496"/>
  <c r="H4099" i="496"/>
  <c r="E4099" i="496"/>
  <c r="D4099" i="496"/>
  <c r="C4099" i="496"/>
  <c r="AV4098" i="496"/>
  <c r="AT4098" i="496"/>
  <c r="AR4098" i="496"/>
  <c r="I4098" i="496"/>
  <c r="H4098" i="496"/>
  <c r="E4098" i="496"/>
  <c r="D4098" i="496"/>
  <c r="C4098" i="496"/>
  <c r="AV4097" i="496"/>
  <c r="AT4097" i="496"/>
  <c r="AR4097" i="496"/>
  <c r="I4097" i="496"/>
  <c r="H4097" i="496"/>
  <c r="E4097" i="496"/>
  <c r="D4097" i="496"/>
  <c r="C4097" i="496"/>
  <c r="AV4096" i="496"/>
  <c r="AT4096" i="496"/>
  <c r="AR4096" i="496"/>
  <c r="I4096" i="496"/>
  <c r="H4096" i="496"/>
  <c r="E4096" i="496"/>
  <c r="D4096" i="496"/>
  <c r="C4096" i="496"/>
  <c r="AV4095" i="496"/>
  <c r="AT4095" i="496"/>
  <c r="AR4095" i="496"/>
  <c r="I4095" i="496"/>
  <c r="H4095" i="496"/>
  <c r="E4095" i="496"/>
  <c r="D4095" i="496"/>
  <c r="C4095" i="496"/>
  <c r="AV4094" i="496"/>
  <c r="AT4094" i="496"/>
  <c r="AR4094" i="496"/>
  <c r="I4094" i="496"/>
  <c r="H4094" i="496"/>
  <c r="E4094" i="496"/>
  <c r="D4094" i="496"/>
  <c r="C4094" i="496"/>
  <c r="AV4093" i="496"/>
  <c r="AT4093" i="496"/>
  <c r="AR4093" i="496"/>
  <c r="I4093" i="496"/>
  <c r="H4093" i="496"/>
  <c r="E4093" i="496"/>
  <c r="D4093" i="496"/>
  <c r="C4093" i="496"/>
  <c r="AV4092" i="496"/>
  <c r="AT4092" i="496"/>
  <c r="AR4092" i="496"/>
  <c r="I4092" i="496"/>
  <c r="H4092" i="496"/>
  <c r="E4092" i="496"/>
  <c r="D4092" i="496"/>
  <c r="C4092" i="496"/>
  <c r="AV4091" i="496"/>
  <c r="AT4091" i="496"/>
  <c r="AR4091" i="496"/>
  <c r="I4091" i="496"/>
  <c r="H4091" i="496"/>
  <c r="E4091" i="496"/>
  <c r="D4091" i="496"/>
  <c r="C4091" i="496"/>
  <c r="AV4090" i="496"/>
  <c r="AT4090" i="496"/>
  <c r="AR4090" i="496"/>
  <c r="I4090" i="496"/>
  <c r="H4090" i="496"/>
  <c r="E4090" i="496"/>
  <c r="D4090" i="496"/>
  <c r="C4090" i="496"/>
  <c r="AV4089" i="496"/>
  <c r="AT4089" i="496"/>
  <c r="AR4089" i="496"/>
  <c r="I4089" i="496"/>
  <c r="H4089" i="496"/>
  <c r="E4089" i="496"/>
  <c r="D4089" i="496"/>
  <c r="C4089" i="496"/>
  <c r="AV4088" i="496"/>
  <c r="AT4088" i="496"/>
  <c r="AR4088" i="496"/>
  <c r="I4088" i="496"/>
  <c r="H4088" i="496"/>
  <c r="E4088" i="496"/>
  <c r="D4088" i="496"/>
  <c r="C4088" i="496"/>
  <c r="AV4087" i="496"/>
  <c r="AT4087" i="496"/>
  <c r="AR4087" i="496"/>
  <c r="I4087" i="496"/>
  <c r="H4087" i="496"/>
  <c r="E4087" i="496"/>
  <c r="D4087" i="496"/>
  <c r="C4087" i="496"/>
  <c r="AV4086" i="496"/>
  <c r="AT4086" i="496"/>
  <c r="AR4086" i="496"/>
  <c r="I4086" i="496"/>
  <c r="H4086" i="496"/>
  <c r="E4086" i="496"/>
  <c r="D4086" i="496"/>
  <c r="C4086" i="496"/>
  <c r="AV4085" i="496"/>
  <c r="AT4085" i="496"/>
  <c r="AR4085" i="496"/>
  <c r="I4085" i="496"/>
  <c r="H4085" i="496"/>
  <c r="E4085" i="496"/>
  <c r="D4085" i="496"/>
  <c r="C4085" i="496"/>
  <c r="AV4084" i="496"/>
  <c r="AT4084" i="496"/>
  <c r="AR4084" i="496"/>
  <c r="I4084" i="496"/>
  <c r="H4084" i="496"/>
  <c r="E4084" i="496"/>
  <c r="D4084" i="496"/>
  <c r="C4084" i="496"/>
  <c r="AV4083" i="496"/>
  <c r="AT4083" i="496"/>
  <c r="AR4083" i="496"/>
  <c r="I4083" i="496"/>
  <c r="H4083" i="496"/>
  <c r="E4083" i="496"/>
  <c r="D4083" i="496"/>
  <c r="C4083" i="496"/>
  <c r="AV4082" i="496"/>
  <c r="AT4082" i="496"/>
  <c r="AR4082" i="496"/>
  <c r="I4082" i="496"/>
  <c r="H4082" i="496"/>
  <c r="E4082" i="496"/>
  <c r="D4082" i="496"/>
  <c r="C4082" i="496"/>
  <c r="AV4081" i="496"/>
  <c r="AT4081" i="496"/>
  <c r="AR4081" i="496"/>
  <c r="I4081" i="496"/>
  <c r="H4081" i="496"/>
  <c r="E4081" i="496"/>
  <c r="D4081" i="496"/>
  <c r="C4081" i="496"/>
  <c r="AV4080" i="496"/>
  <c r="AT4080" i="496"/>
  <c r="AR4080" i="496"/>
  <c r="I4080" i="496"/>
  <c r="H4080" i="496"/>
  <c r="E4080" i="496"/>
  <c r="D4080" i="496"/>
  <c r="C4080" i="496"/>
  <c r="AV4079" i="496"/>
  <c r="AT4079" i="496"/>
  <c r="AR4079" i="496"/>
  <c r="I4079" i="496"/>
  <c r="H4079" i="496"/>
  <c r="E4079" i="496"/>
  <c r="D4079" i="496"/>
  <c r="C4079" i="496"/>
  <c r="AV4078" i="496"/>
  <c r="AT4078" i="496"/>
  <c r="AR4078" i="496"/>
  <c r="I4078" i="496"/>
  <c r="H4078" i="496"/>
  <c r="E4078" i="496"/>
  <c r="D4078" i="496"/>
  <c r="C4078" i="496"/>
  <c r="AV4077" i="496"/>
  <c r="AT4077" i="496"/>
  <c r="AR4077" i="496"/>
  <c r="I4077" i="496"/>
  <c r="H4077" i="496"/>
  <c r="E4077" i="496"/>
  <c r="D4077" i="496"/>
  <c r="C4077" i="496"/>
  <c r="AV4076" i="496"/>
  <c r="AT4076" i="496"/>
  <c r="AR4076" i="496"/>
  <c r="I4076" i="496"/>
  <c r="H4076" i="496"/>
  <c r="E4076" i="496"/>
  <c r="D4076" i="496"/>
  <c r="C4076" i="496"/>
  <c r="AV4075" i="496"/>
  <c r="AT4075" i="496"/>
  <c r="AR4075" i="496"/>
  <c r="I4075" i="496"/>
  <c r="H4075" i="496"/>
  <c r="E4075" i="496"/>
  <c r="D4075" i="496"/>
  <c r="C4075" i="496"/>
  <c r="AV4074" i="496"/>
  <c r="AT4074" i="496"/>
  <c r="AR4074" i="496"/>
  <c r="I4074" i="496"/>
  <c r="H4074" i="496"/>
  <c r="E4074" i="496"/>
  <c r="D4074" i="496"/>
  <c r="C4074" i="496"/>
  <c r="AV4073" i="496"/>
  <c r="AT4073" i="496"/>
  <c r="AR4073" i="496"/>
  <c r="I4073" i="496"/>
  <c r="H4073" i="496"/>
  <c r="E4073" i="496"/>
  <c r="D4073" i="496"/>
  <c r="C4073" i="496"/>
  <c r="AV4072" i="496"/>
  <c r="AT4072" i="496"/>
  <c r="AR4072" i="496"/>
  <c r="I4072" i="496"/>
  <c r="H4072" i="496"/>
  <c r="E4072" i="496"/>
  <c r="D4072" i="496"/>
  <c r="C4072" i="496"/>
  <c r="AV4071" i="496"/>
  <c r="AT4071" i="496"/>
  <c r="AR4071" i="496"/>
  <c r="I4071" i="496"/>
  <c r="H4071" i="496"/>
  <c r="E4071" i="496"/>
  <c r="D4071" i="496"/>
  <c r="C4071" i="496"/>
  <c r="AV4070" i="496"/>
  <c r="AT4070" i="496"/>
  <c r="AR4070" i="496"/>
  <c r="I4070" i="496"/>
  <c r="H4070" i="496"/>
  <c r="E4070" i="496"/>
  <c r="D4070" i="496"/>
  <c r="C4070" i="496"/>
  <c r="AV4069" i="496"/>
  <c r="AT4069" i="496"/>
  <c r="AR4069" i="496"/>
  <c r="I4069" i="496"/>
  <c r="H4069" i="496"/>
  <c r="E4069" i="496"/>
  <c r="D4069" i="496"/>
  <c r="C4069" i="496"/>
  <c r="AV4068" i="496"/>
  <c r="AT4068" i="496"/>
  <c r="AR4068" i="496"/>
  <c r="I4068" i="496"/>
  <c r="H4068" i="496"/>
  <c r="E4068" i="496"/>
  <c r="D4068" i="496"/>
  <c r="C4068" i="496"/>
  <c r="AV4067" i="496"/>
  <c r="AT4067" i="496"/>
  <c r="AR4067" i="496"/>
  <c r="I4067" i="496"/>
  <c r="H4067" i="496"/>
  <c r="E4067" i="496"/>
  <c r="D4067" i="496"/>
  <c r="C4067" i="496"/>
  <c r="AV4066" i="496"/>
  <c r="AT4066" i="496"/>
  <c r="AR4066" i="496"/>
  <c r="I4066" i="496"/>
  <c r="H4066" i="496"/>
  <c r="E4066" i="496"/>
  <c r="D4066" i="496"/>
  <c r="C4066" i="496"/>
  <c r="AV4065" i="496"/>
  <c r="AT4065" i="496"/>
  <c r="AR4065" i="496"/>
  <c r="I4065" i="496"/>
  <c r="H4065" i="496"/>
  <c r="E4065" i="496"/>
  <c r="D4065" i="496"/>
  <c r="C4065" i="496"/>
  <c r="AV4064" i="496"/>
  <c r="AT4064" i="496"/>
  <c r="AR4064" i="496"/>
  <c r="I4064" i="496"/>
  <c r="H4064" i="496"/>
  <c r="E4064" i="496"/>
  <c r="D4064" i="496"/>
  <c r="C4064" i="496"/>
  <c r="AV4063" i="496"/>
  <c r="AT4063" i="496"/>
  <c r="AR4063" i="496"/>
  <c r="I4063" i="496"/>
  <c r="H4063" i="496"/>
  <c r="E4063" i="496"/>
  <c r="D4063" i="496"/>
  <c r="C4063" i="496"/>
  <c r="AV4062" i="496"/>
  <c r="AT4062" i="496"/>
  <c r="AR4062" i="496"/>
  <c r="I4062" i="496"/>
  <c r="H4062" i="496"/>
  <c r="E4062" i="496"/>
  <c r="D4062" i="496"/>
  <c r="C4062" i="496"/>
  <c r="AV4061" i="496"/>
  <c r="AT4061" i="496"/>
  <c r="AR4061" i="496"/>
  <c r="I4061" i="496"/>
  <c r="H4061" i="496"/>
  <c r="E4061" i="496"/>
  <c r="D4061" i="496"/>
  <c r="C4061" i="496"/>
  <c r="AV4060" i="496"/>
  <c r="AT4060" i="496"/>
  <c r="AR4060" i="496"/>
  <c r="I4060" i="496"/>
  <c r="H4060" i="496"/>
  <c r="E4060" i="496"/>
  <c r="D4060" i="496"/>
  <c r="C4060" i="496"/>
  <c r="AV4059" i="496"/>
  <c r="AT4059" i="496"/>
  <c r="AR4059" i="496"/>
  <c r="I4059" i="496"/>
  <c r="H4059" i="496"/>
  <c r="E4059" i="496"/>
  <c r="D4059" i="496"/>
  <c r="C4059" i="496"/>
  <c r="AV4058" i="496"/>
  <c r="AT4058" i="496"/>
  <c r="AR4058" i="496"/>
  <c r="I4058" i="496"/>
  <c r="H4058" i="496"/>
  <c r="E4058" i="496"/>
  <c r="D4058" i="496"/>
  <c r="C4058" i="496"/>
  <c r="AV4057" i="496"/>
  <c r="AT4057" i="496"/>
  <c r="AR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AT3433" i="496"/>
  <c r="I3433" i="496"/>
  <c r="H3433" i="496"/>
  <c r="E3433" i="496"/>
  <c r="D3433" i="496"/>
  <c r="C3433" i="496"/>
  <c r="AV3432" i="496"/>
  <c r="AT3432" i="496"/>
  <c r="I3432" i="496"/>
  <c r="H3432" i="496"/>
  <c r="E3432" i="496"/>
  <c r="D3432" i="496"/>
  <c r="C3432" i="496"/>
  <c r="AV3431" i="496"/>
  <c r="AT3431" i="496"/>
  <c r="I3431" i="496"/>
  <c r="H3431" i="496"/>
  <c r="E3431" i="496"/>
  <c r="D3431" i="496"/>
  <c r="C3431" i="496"/>
  <c r="AV3430" i="496"/>
  <c r="AT3430" i="496"/>
  <c r="I3430" i="496"/>
  <c r="H3430" i="496"/>
  <c r="E3430" i="496"/>
  <c r="D3430" i="496"/>
  <c r="C3430" i="496"/>
  <c r="AV3429" i="496"/>
  <c r="AT3429" i="496"/>
  <c r="I3429" i="496"/>
  <c r="H3429" i="496"/>
  <c r="E3429" i="496"/>
  <c r="D3429" i="496"/>
  <c r="C3429" i="496"/>
  <c r="AV3428" i="496"/>
  <c r="AT3428" i="496"/>
  <c r="I3428" i="496"/>
  <c r="H3428" i="496"/>
  <c r="E3428" i="496"/>
  <c r="D3428" i="496"/>
  <c r="C3428" i="496"/>
  <c r="AV3427" i="496"/>
  <c r="AT3427" i="496"/>
  <c r="I3427" i="496"/>
  <c r="H3427" i="496"/>
  <c r="E3427" i="496"/>
  <c r="D3427" i="496"/>
  <c r="C3427" i="496"/>
  <c r="AV3426" i="496"/>
  <c r="AT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I3348" i="496"/>
  <c r="H3348" i="496"/>
  <c r="E3348" i="496"/>
  <c r="D3348" i="496"/>
  <c r="C3348" i="496"/>
  <c r="AV3347" i="496"/>
  <c r="AT3347" i="496"/>
  <c r="I3347" i="496"/>
  <c r="H3347" i="496"/>
  <c r="E3347" i="496"/>
  <c r="D3347" i="496"/>
  <c r="C3347" i="496"/>
  <c r="AV3346" i="496"/>
  <c r="AT3346" i="496"/>
  <c r="I3346" i="496"/>
  <c r="H3346" i="496"/>
  <c r="E3346" i="496"/>
  <c r="D3346" i="496"/>
  <c r="C3346" i="496"/>
  <c r="AV3345" i="496"/>
  <c r="AT3345" i="496"/>
  <c r="I3345" i="496"/>
  <c r="H3345" i="496"/>
  <c r="E3345" i="496"/>
  <c r="D3345" i="496"/>
  <c r="C3345" i="496"/>
  <c r="AV3344" i="496"/>
  <c r="AT3344" i="496"/>
  <c r="I3344" i="496"/>
  <c r="H3344" i="496"/>
  <c r="E3344" i="496"/>
  <c r="D3344" i="496"/>
  <c r="C3344" i="496"/>
  <c r="AV3343" i="496"/>
  <c r="AT3343" i="496"/>
  <c r="I3343" i="496"/>
  <c r="H3343" i="496"/>
  <c r="E3343" i="496"/>
  <c r="D3343" i="496"/>
  <c r="C3343" i="496"/>
  <c r="AV3342" i="496"/>
  <c r="AT3342" i="496"/>
  <c r="I3342" i="496"/>
  <c r="H3342" i="496"/>
  <c r="E3342" i="496"/>
  <c r="D3342" i="496"/>
  <c r="C3342" i="496"/>
  <c r="AV3341" i="496"/>
  <c r="AT3341" i="496"/>
  <c r="I3341" i="496"/>
  <c r="H3341" i="496"/>
  <c r="E3341" i="496"/>
  <c r="D3341" i="496"/>
  <c r="C3341" i="496"/>
  <c r="AV3340" i="496"/>
  <c r="AT3340" i="496"/>
  <c r="I3340" i="496"/>
  <c r="H3340" i="496"/>
  <c r="E3340" i="496"/>
  <c r="D3340" i="496"/>
  <c r="C3340" i="496"/>
  <c r="AV3339" i="496"/>
  <c r="AT3339" i="496"/>
  <c r="I3339" i="496"/>
  <c r="H3339" i="496"/>
  <c r="E3339" i="496"/>
  <c r="D3339" i="496"/>
  <c r="C3339" i="496"/>
  <c r="AV3338" i="496"/>
  <c r="AT3338" i="496"/>
  <c r="I3338" i="496"/>
  <c r="H3338" i="496"/>
  <c r="E3338" i="496"/>
  <c r="D3338" i="496"/>
  <c r="C3338" i="496"/>
  <c r="AV3337" i="496"/>
  <c r="AT3337" i="496"/>
  <c r="I3337" i="496"/>
  <c r="H3337" i="496"/>
  <c r="E3337" i="496"/>
  <c r="D3337" i="496"/>
  <c r="C3337" i="496"/>
  <c r="AV3336" i="496"/>
  <c r="AT3336" i="496"/>
  <c r="I3336" i="496"/>
  <c r="H3336" i="496"/>
  <c r="E3336" i="496"/>
  <c r="D3336" i="496"/>
  <c r="C3336" i="496"/>
  <c r="AV3335" i="496"/>
  <c r="AT3335" i="496"/>
  <c r="I3335" i="496"/>
  <c r="H3335" i="496"/>
  <c r="E3335" i="496"/>
  <c r="D3335" i="496"/>
  <c r="C3335" i="496"/>
  <c r="AV3334" i="496"/>
  <c r="AT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I3322" i="496"/>
  <c r="H3322" i="496"/>
  <c r="E3322" i="496"/>
  <c r="D3322" i="496"/>
  <c r="C3322" i="496"/>
  <c r="AV3321" i="496"/>
  <c r="AT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I3279" i="496"/>
  <c r="H3279" i="496"/>
  <c r="E3279" i="496"/>
  <c r="D3279" i="496"/>
  <c r="C3279" i="496"/>
  <c r="AV3278" i="496"/>
  <c r="AT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I3272" i="496"/>
  <c r="H3272" i="496"/>
  <c r="E3272" i="496"/>
  <c r="D3272" i="496"/>
  <c r="C3272" i="496"/>
  <c r="AV3271" i="496"/>
  <c r="AT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I3016" i="496"/>
  <c r="H3016" i="496"/>
  <c r="E3016" i="496"/>
  <c r="D3016" i="496"/>
  <c r="C3016" i="496"/>
  <c r="AV3015" i="496"/>
  <c r="I3015" i="496"/>
  <c r="H3015" i="496"/>
  <c r="E3015" i="496"/>
  <c r="D3015" i="496"/>
  <c r="C3015" i="496"/>
  <c r="AV3014" i="496"/>
  <c r="I3014" i="496"/>
  <c r="H3014" i="496"/>
  <c r="E3014" i="496"/>
  <c r="D3014" i="496"/>
  <c r="C3014" i="496"/>
  <c r="AV3013" i="496"/>
  <c r="I3013" i="496"/>
  <c r="H3013" i="496"/>
  <c r="E3013" i="496"/>
  <c r="D3013" i="496"/>
  <c r="C3013" i="496"/>
  <c r="AV3012" i="496"/>
  <c r="I3012" i="496"/>
  <c r="H3012" i="496"/>
  <c r="E3012" i="496"/>
  <c r="D3012" i="496"/>
  <c r="C3012" i="496"/>
  <c r="AV3011" i="496"/>
  <c r="I3011" i="496"/>
  <c r="H3011" i="496"/>
  <c r="E3011" i="496"/>
  <c r="D3011" i="496"/>
  <c r="C3011" i="496"/>
  <c r="AV3010" i="496"/>
  <c r="I3010" i="496"/>
  <c r="H3010" i="496"/>
  <c r="E3010" i="496"/>
  <c r="D3010" i="496"/>
  <c r="C3010" i="496"/>
  <c r="AV3009" i="496"/>
  <c r="I3009" i="496"/>
  <c r="H3009" i="496"/>
  <c r="E3009" i="496"/>
  <c r="D3009" i="496"/>
  <c r="C3009" i="496"/>
  <c r="AV3008" i="496"/>
  <c r="I3008" i="496"/>
  <c r="H3008" i="496"/>
  <c r="E3008" i="496"/>
  <c r="D3008" i="496"/>
  <c r="C3008" i="496"/>
  <c r="AV3007" i="496"/>
  <c r="I3007" i="496"/>
  <c r="H3007" i="496"/>
  <c r="E3007" i="496"/>
  <c r="D3007" i="496"/>
  <c r="C3007" i="496"/>
  <c r="AV3006" i="496"/>
  <c r="I3006" i="496"/>
  <c r="H3006" i="496"/>
  <c r="E3006" i="496"/>
  <c r="D3006" i="496"/>
  <c r="C3006" i="496"/>
  <c r="AV3005" i="496"/>
  <c r="I3005" i="496"/>
  <c r="H3005" i="496"/>
  <c r="E3005" i="496"/>
  <c r="D3005" i="496"/>
  <c r="C3005" i="496"/>
  <c r="AV3004" i="496"/>
  <c r="I3004" i="496"/>
  <c r="H3004" i="496"/>
  <c r="E3004" i="496"/>
  <c r="D3004" i="496"/>
  <c r="C3004" i="496"/>
  <c r="AV3003" i="496"/>
  <c r="I3003" i="496"/>
  <c r="H3003" i="496"/>
  <c r="E3003" i="496"/>
  <c r="D3003" i="496"/>
  <c r="C3003" i="496"/>
  <c r="AV3002" i="496"/>
  <c r="I3002" i="496"/>
  <c r="H3002" i="496"/>
  <c r="E3002" i="496"/>
  <c r="D3002" i="496"/>
  <c r="C3002" i="496"/>
  <c r="AV3001" i="496"/>
  <c r="I3001" i="496"/>
  <c r="H3001" i="496"/>
  <c r="E3001" i="496"/>
  <c r="D3001" i="496"/>
  <c r="C3001" i="496"/>
  <c r="AV3000" i="496"/>
  <c r="I3000" i="496"/>
  <c r="H3000" i="496"/>
  <c r="E3000" i="496"/>
  <c r="D3000" i="496"/>
  <c r="C3000" i="496"/>
  <c r="AV2999" i="496"/>
  <c r="I2999" i="496"/>
  <c r="H2999" i="496"/>
  <c r="E2999" i="496"/>
  <c r="D2999" i="496"/>
  <c r="C2999" i="496"/>
  <c r="AV2998" i="496"/>
  <c r="I2998" i="496"/>
  <c r="H2998" i="496"/>
  <c r="E2998" i="496"/>
  <c r="D2998" i="496"/>
  <c r="C2998" i="496"/>
  <c r="AV2997" i="496"/>
  <c r="I2997" i="496"/>
  <c r="H2997" i="496"/>
  <c r="E2997" i="496"/>
  <c r="D2997" i="496"/>
  <c r="C2997" i="496"/>
  <c r="AV2996" i="496"/>
  <c r="I2996" i="496"/>
  <c r="H2996" i="496"/>
  <c r="E2996" i="496"/>
  <c r="D2996" i="496"/>
  <c r="C2996" i="496"/>
  <c r="AV2995" i="496"/>
  <c r="I2995" i="496"/>
  <c r="H2995" i="496"/>
  <c r="E2995" i="496"/>
  <c r="D2995" i="496"/>
  <c r="C2995" i="496"/>
  <c r="AV2994" i="496"/>
  <c r="I2994" i="496"/>
  <c r="H2994" i="496"/>
  <c r="E2994" i="496"/>
  <c r="D2994" i="496"/>
  <c r="C2994" i="496"/>
  <c r="AV2993" i="496"/>
  <c r="I2993" i="496"/>
  <c r="H2993" i="496"/>
  <c r="E2993" i="496"/>
  <c r="D2993" i="496"/>
  <c r="C2993" i="496"/>
  <c r="AV2992" i="496"/>
  <c r="I2992" i="496"/>
  <c r="H2992" i="496"/>
  <c r="E2992" i="496"/>
  <c r="D2992" i="496"/>
  <c r="C2992" i="496"/>
  <c r="AV2991" i="496"/>
  <c r="I2991" i="496"/>
  <c r="H2991" i="496"/>
  <c r="E2991" i="496"/>
  <c r="D2991" i="496"/>
  <c r="C2991" i="496"/>
  <c r="AV2990" i="496"/>
  <c r="I2990" i="496"/>
  <c r="H2990" i="496"/>
  <c r="E2990" i="496"/>
  <c r="D2990" i="496"/>
  <c r="C2990" i="496"/>
  <c r="AV2989" i="496"/>
  <c r="I2989" i="496"/>
  <c r="H2989" i="496"/>
  <c r="E2989" i="496"/>
  <c r="D2989" i="496"/>
  <c r="C2989" i="496"/>
  <c r="AV2988" i="496"/>
  <c r="I2988" i="496"/>
  <c r="H2988" i="496"/>
  <c r="E2988" i="496"/>
  <c r="D2988" i="496"/>
  <c r="C2988" i="496"/>
  <c r="AV2987" i="496"/>
  <c r="I2987" i="496"/>
  <c r="H2987" i="496"/>
  <c r="E2987" i="496"/>
  <c r="D2987" i="496"/>
  <c r="C2987" i="496"/>
  <c r="AV2986" i="496"/>
  <c r="I2986" i="496"/>
  <c r="H2986" i="496"/>
  <c r="E2986" i="496"/>
  <c r="D2986" i="496"/>
  <c r="C2986" i="496"/>
  <c r="AV2985" i="496"/>
  <c r="I2985" i="496"/>
  <c r="H2985" i="496"/>
  <c r="E2985" i="496"/>
  <c r="D2985" i="496"/>
  <c r="C2985" i="496"/>
  <c r="AV2984" i="496"/>
  <c r="I2984" i="496"/>
  <c r="H2984" i="496"/>
  <c r="E2984" i="496"/>
  <c r="D2984" i="496"/>
  <c r="C2984" i="496"/>
  <c r="AV2983" i="496"/>
  <c r="I2983" i="496"/>
  <c r="H2983" i="496"/>
  <c r="E2983" i="496"/>
  <c r="D2983" i="496"/>
  <c r="C2983" i="496"/>
  <c r="AV2982" i="496"/>
  <c r="I2982" i="496"/>
  <c r="H2982" i="496"/>
  <c r="E2982" i="496"/>
  <c r="D2982" i="496"/>
  <c r="C2982" i="496"/>
  <c r="AV2981" i="496"/>
  <c r="I2981" i="496"/>
  <c r="H2981" i="496"/>
  <c r="E2981" i="496"/>
  <c r="D2981" i="496"/>
  <c r="C2981" i="496"/>
  <c r="AV2980" i="496"/>
  <c r="I2980" i="496"/>
  <c r="H2980" i="496"/>
  <c r="E2980" i="496"/>
  <c r="D2980" i="496"/>
  <c r="C2980" i="496"/>
  <c r="AV2979" i="496"/>
  <c r="I2979" i="496"/>
  <c r="H2979" i="496"/>
  <c r="E2979" i="496"/>
  <c r="D2979" i="496"/>
  <c r="C2979" i="496"/>
  <c r="AV2978" i="496"/>
  <c r="I2978" i="496"/>
  <c r="H2978" i="496"/>
  <c r="E2978" i="496"/>
  <c r="D2978" i="496"/>
  <c r="C2978" i="496"/>
  <c r="AV2977" i="496"/>
  <c r="I2977" i="496"/>
  <c r="H2977" i="496"/>
  <c r="E2977" i="496"/>
  <c r="D2977" i="496"/>
  <c r="C2977" i="496"/>
  <c r="AV2976" i="496"/>
  <c r="I2976" i="496"/>
  <c r="H2976" i="496"/>
  <c r="E2976" i="496"/>
  <c r="D2976" i="496"/>
  <c r="C2976" i="496"/>
  <c r="AV2975" i="496"/>
  <c r="I2975" i="496"/>
  <c r="H2975" i="496"/>
  <c r="E2975" i="496"/>
  <c r="D2975" i="496"/>
  <c r="C2975" i="496"/>
  <c r="AV2974" i="496"/>
  <c r="I2974" i="496"/>
  <c r="H2974" i="496"/>
  <c r="E2974" i="496"/>
  <c r="D2974" i="496"/>
  <c r="C2974" i="496"/>
  <c r="AV2973" i="496"/>
  <c r="I2973" i="496"/>
  <c r="H2973" i="496"/>
  <c r="E2973" i="496"/>
  <c r="D2973" i="496"/>
  <c r="C2973" i="496"/>
  <c r="AV2972" i="496"/>
  <c r="I2972" i="496"/>
  <c r="H2972" i="496"/>
  <c r="E2972" i="496"/>
  <c r="D2972" i="496"/>
  <c r="C2972" i="496"/>
  <c r="AV2971" i="496"/>
  <c r="I2971" i="496"/>
  <c r="H2971" i="496"/>
  <c r="E2971" i="496"/>
  <c r="D2971" i="496"/>
  <c r="C2971" i="496"/>
  <c r="AV2970" i="496"/>
  <c r="I2970" i="496"/>
  <c r="H2970" i="496"/>
  <c r="E2970" i="496"/>
  <c r="D2970" i="496"/>
  <c r="C2970" i="496"/>
  <c r="AV2969" i="496"/>
  <c r="I2969" i="496"/>
  <c r="H2969" i="496"/>
  <c r="E2969" i="496"/>
  <c r="D2969" i="496"/>
  <c r="C2969" i="496"/>
  <c r="AV2968" i="496"/>
  <c r="I2968" i="496"/>
  <c r="H2968" i="496"/>
  <c r="E2968" i="496"/>
  <c r="D2968" i="496"/>
  <c r="C2968" i="496"/>
  <c r="AV2967" i="496"/>
  <c r="I2967" i="496"/>
  <c r="H2967" i="496"/>
  <c r="E2967" i="496"/>
  <c r="D2967" i="496"/>
  <c r="C2967" i="496"/>
  <c r="AV2966" i="496"/>
  <c r="I2966" i="496"/>
  <c r="H2966" i="496"/>
  <c r="E2966" i="496"/>
  <c r="D2966" i="496"/>
  <c r="C2966" i="496"/>
  <c r="AV2965" i="496"/>
  <c r="I2965" i="496"/>
  <c r="H2965" i="496"/>
  <c r="E2965" i="496"/>
  <c r="D2965" i="496"/>
  <c r="C2965" i="496"/>
  <c r="AV2964" i="496"/>
  <c r="I2964" i="496"/>
  <c r="H2964" i="496"/>
  <c r="E2964" i="496"/>
  <c r="D2964" i="496"/>
  <c r="C2964" i="496"/>
  <c r="AV2963" i="496"/>
  <c r="I2963" i="496"/>
  <c r="H2963" i="496"/>
  <c r="E2963" i="496"/>
  <c r="D2963" i="496"/>
  <c r="C2963" i="496"/>
  <c r="AV2962" i="496"/>
  <c r="I2962" i="496"/>
  <c r="H2962" i="496"/>
  <c r="E2962" i="496"/>
  <c r="D2962" i="496"/>
  <c r="C2962" i="496"/>
  <c r="AV2961" i="496"/>
  <c r="I2961" i="496"/>
  <c r="H2961" i="496"/>
  <c r="E2961" i="496"/>
  <c r="D2961" i="496"/>
  <c r="C2961" i="496"/>
  <c r="AV2960" i="496"/>
  <c r="I2960" i="496"/>
  <c r="H2960" i="496"/>
  <c r="E2960" i="496"/>
  <c r="D2960" i="496"/>
  <c r="C2960" i="496"/>
  <c r="AV2959" i="496"/>
  <c r="I2959" i="496"/>
  <c r="H2959" i="496"/>
  <c r="E2959" i="496"/>
  <c r="D2959" i="496"/>
  <c r="C2959" i="496"/>
  <c r="AV2958" i="496"/>
  <c r="I2958" i="496"/>
  <c r="H2958" i="496"/>
  <c r="E2958" i="496"/>
  <c r="D2958" i="496"/>
  <c r="C2958" i="496"/>
  <c r="AV2957" i="496"/>
  <c r="I2957" i="496"/>
  <c r="H2957" i="496"/>
  <c r="E2957" i="496"/>
  <c r="D2957" i="496"/>
  <c r="C2957" i="496"/>
  <c r="AV2956" i="496"/>
  <c r="I2956" i="496"/>
  <c r="H2956" i="496"/>
  <c r="E2956" i="496"/>
  <c r="D2956" i="496"/>
  <c r="C2956" i="496"/>
  <c r="AV2955" i="496"/>
  <c r="I2955" i="496"/>
  <c r="H2955" i="496"/>
  <c r="E2955" i="496"/>
  <c r="D2955" i="496"/>
  <c r="C2955" i="496"/>
  <c r="AV2954" i="496"/>
  <c r="I2954" i="496"/>
  <c r="H2954" i="496"/>
  <c r="E2954" i="496"/>
  <c r="D2954" i="496"/>
  <c r="C2954" i="496"/>
  <c r="AV2953" i="496"/>
  <c r="I2953" i="496"/>
  <c r="H2953" i="496"/>
  <c r="E2953" i="496"/>
  <c r="D2953" i="496"/>
  <c r="C2953" i="496"/>
  <c r="AV2952" i="496"/>
  <c r="I2952" i="496"/>
  <c r="H2952" i="496"/>
  <c r="E2952" i="496"/>
  <c r="D2952" i="496"/>
  <c r="C2952" i="496"/>
  <c r="AV2951" i="496"/>
  <c r="I2951" i="496"/>
  <c r="H2951" i="496"/>
  <c r="E2951" i="496"/>
  <c r="D2951" i="496"/>
  <c r="C2951" i="496"/>
  <c r="AV2950" i="496"/>
  <c r="I2950" i="496"/>
  <c r="H2950" i="496"/>
  <c r="E2950" i="496"/>
  <c r="D2950" i="496"/>
  <c r="C2950" i="496"/>
  <c r="AV2949" i="496"/>
  <c r="I2949" i="496"/>
  <c r="H2949" i="496"/>
  <c r="E2949" i="496"/>
  <c r="D2949" i="496"/>
  <c r="C2949" i="496"/>
  <c r="AV2948" i="496"/>
  <c r="I2948" i="496"/>
  <c r="H2948" i="496"/>
  <c r="E2948" i="496"/>
  <c r="D2948" i="496"/>
  <c r="C2948" i="496"/>
  <c r="AV2947" i="496"/>
  <c r="I2947" i="496"/>
  <c r="H2947" i="496"/>
  <c r="E2947" i="496"/>
  <c r="D2947" i="496"/>
  <c r="C2947" i="496"/>
  <c r="AV2946" i="496"/>
  <c r="I2946" i="496"/>
  <c r="H2946" i="496"/>
  <c r="E2946" i="496"/>
  <c r="D2946" i="496"/>
  <c r="C2946" i="496"/>
  <c r="AV2945" i="496"/>
  <c r="I2945" i="496"/>
  <c r="H2945" i="496"/>
  <c r="E2945" i="496"/>
  <c r="D2945" i="496"/>
  <c r="C2945" i="496"/>
  <c r="AV2944" i="496"/>
  <c r="I2944" i="496"/>
  <c r="H2944" i="496"/>
  <c r="E2944" i="496"/>
  <c r="D2944" i="496"/>
  <c r="C2944" i="496"/>
  <c r="AV2943" i="496"/>
  <c r="I2943" i="496"/>
  <c r="H2943" i="496"/>
  <c r="E2943" i="496"/>
  <c r="D2943" i="496"/>
  <c r="C2943" i="496"/>
  <c r="AV2942" i="496"/>
  <c r="I2942" i="496"/>
  <c r="H2942" i="496"/>
  <c r="E2942" i="496"/>
  <c r="D2942" i="496"/>
  <c r="C2942" i="496"/>
  <c r="AV2941" i="496"/>
  <c r="I2941" i="496"/>
  <c r="H2941" i="496"/>
  <c r="E2941" i="496"/>
  <c r="D2941" i="496"/>
  <c r="C2941" i="496"/>
  <c r="AV2940" i="496"/>
  <c r="I2940" i="496"/>
  <c r="H2940" i="496"/>
  <c r="E2940" i="496"/>
  <c r="D2940" i="496"/>
  <c r="C2940" i="496"/>
  <c r="AV2939" i="496"/>
  <c r="I2939" i="496"/>
  <c r="H2939" i="496"/>
  <c r="E2939" i="496"/>
  <c r="D2939" i="496"/>
  <c r="C2939" i="496"/>
  <c r="AV2938" i="496"/>
  <c r="I2938" i="496"/>
  <c r="H2938" i="496"/>
  <c r="E2938" i="496"/>
  <c r="D2938" i="496"/>
  <c r="C2938" i="496"/>
  <c r="AV2937" i="496"/>
  <c r="I2937" i="496"/>
  <c r="H2937" i="496"/>
  <c r="E2937" i="496"/>
  <c r="D2937" i="496"/>
  <c r="C2937" i="496"/>
  <c r="AV2936" i="496"/>
  <c r="I2936" i="496"/>
  <c r="H2936" i="496"/>
  <c r="E2936" i="496"/>
  <c r="D2936" i="496"/>
  <c r="C2936" i="496"/>
  <c r="AV2935" i="496"/>
  <c r="I2935" i="496"/>
  <c r="H2935" i="496"/>
  <c r="E2935" i="496"/>
  <c r="D2935" i="496"/>
  <c r="C2935" i="496"/>
  <c r="AV2934" i="496"/>
  <c r="I2934" i="496"/>
  <c r="H2934" i="496"/>
  <c r="E2934" i="496"/>
  <c r="D2934" i="496"/>
  <c r="C2934" i="496"/>
  <c r="AV2933" i="496"/>
  <c r="I2933" i="496"/>
  <c r="H2933" i="496"/>
  <c r="E2933" i="496"/>
  <c r="D2933" i="496"/>
  <c r="C2933" i="496"/>
  <c r="AV2932" i="496"/>
  <c r="I2932" i="496"/>
  <c r="H2932" i="496"/>
  <c r="E2932" i="496"/>
  <c r="D2932" i="496"/>
  <c r="C2932" i="496"/>
  <c r="AV2931" i="496"/>
  <c r="I2931" i="496"/>
  <c r="H2931" i="496"/>
  <c r="E2931" i="496"/>
  <c r="D2931" i="496"/>
  <c r="C2931" i="496"/>
  <c r="AV2930" i="496"/>
  <c r="I2930" i="496"/>
  <c r="H2930" i="496"/>
  <c r="E2930" i="496"/>
  <c r="D2930" i="496"/>
  <c r="C2930" i="496"/>
  <c r="AV2929" i="496"/>
  <c r="I2929" i="496"/>
  <c r="H2929" i="496"/>
  <c r="E2929" i="496"/>
  <c r="D2929" i="496"/>
  <c r="C2929" i="496"/>
  <c r="AV2928" i="496"/>
  <c r="I2928" i="496"/>
  <c r="H2928" i="496"/>
  <c r="E2928" i="496"/>
  <c r="D2928" i="496"/>
  <c r="C2928" i="496"/>
  <c r="AV2927" i="496"/>
  <c r="I2927" i="496"/>
  <c r="H2927" i="496"/>
  <c r="E2927" i="496"/>
  <c r="D2927" i="496"/>
  <c r="C2927" i="496"/>
  <c r="AV2926" i="496"/>
  <c r="I2926" i="496"/>
  <c r="H2926" i="496"/>
  <c r="E2926" i="496"/>
  <c r="D2926" i="496"/>
  <c r="C2926" i="496"/>
  <c r="AV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T2753" i="496"/>
  <c r="I2753" i="496"/>
  <c r="H2753" i="496"/>
  <c r="E2753" i="496"/>
  <c r="D2753" i="496"/>
  <c r="C2753" i="496"/>
  <c r="AV2752" i="496"/>
  <c r="AT2752" i="496"/>
  <c r="I2752" i="496"/>
  <c r="H2752" i="496"/>
  <c r="E2752" i="496"/>
  <c r="D2752" i="496"/>
  <c r="C2752" i="496"/>
  <c r="AV2751" i="496"/>
  <c r="AT2751" i="496"/>
  <c r="I2751" i="496"/>
  <c r="H2751" i="496"/>
  <c r="E2751" i="496"/>
  <c r="D2751" i="496"/>
  <c r="C2751" i="496"/>
  <c r="AV2750" i="496"/>
  <c r="AT2750" i="496"/>
  <c r="I2750" i="496"/>
  <c r="H2750" i="496"/>
  <c r="E2750" i="496"/>
  <c r="D2750" i="496"/>
  <c r="C2750" i="496"/>
  <c r="AV2749" i="496"/>
  <c r="AT2749" i="496"/>
  <c r="I2749" i="496"/>
  <c r="H2749" i="496"/>
  <c r="E2749" i="496"/>
  <c r="D2749" i="496"/>
  <c r="C2749" i="496"/>
  <c r="AV2748" i="496"/>
  <c r="AT2748" i="496"/>
  <c r="I2748" i="496"/>
  <c r="H2748" i="496"/>
  <c r="E2748" i="496"/>
  <c r="D2748" i="496"/>
  <c r="C2748" i="496"/>
  <c r="AV2747" i="496"/>
  <c r="AT2747" i="496"/>
  <c r="I2747" i="496"/>
  <c r="H2747" i="496"/>
  <c r="E2747" i="496"/>
  <c r="D2747" i="496"/>
  <c r="C2747" i="496"/>
  <c r="AV2746" i="496"/>
  <c r="AT2746" i="496"/>
  <c r="I2746" i="496"/>
  <c r="H2746" i="496"/>
  <c r="E2746" i="496"/>
  <c r="D2746" i="496"/>
  <c r="C2746" i="496"/>
  <c r="AV2745" i="496"/>
  <c r="AT2745" i="496"/>
  <c r="I2745" i="496"/>
  <c r="H2745" i="496"/>
  <c r="E2745" i="496"/>
  <c r="D2745" i="496"/>
  <c r="C2745" i="496"/>
  <c r="AV2744" i="496"/>
  <c r="AT2744" i="496"/>
  <c r="I2744" i="496"/>
  <c r="H2744" i="496"/>
  <c r="E2744" i="496"/>
  <c r="D2744" i="496"/>
  <c r="C2744" i="496"/>
  <c r="AV2743" i="496"/>
  <c r="AT2743" i="496"/>
  <c r="I2743" i="496"/>
  <c r="H2743" i="496"/>
  <c r="E2743" i="496"/>
  <c r="D2743" i="496"/>
  <c r="C2743" i="496"/>
  <c r="AV2742" i="496"/>
  <c r="AT2742" i="496"/>
  <c r="I2742" i="496"/>
  <c r="H2742" i="496"/>
  <c r="E2742" i="496"/>
  <c r="D2742" i="496"/>
  <c r="C2742" i="496"/>
  <c r="AV2741" i="496"/>
  <c r="AT2741" i="496"/>
  <c r="I2741" i="496"/>
  <c r="H2741" i="496"/>
  <c r="E2741" i="496"/>
  <c r="D2741" i="496"/>
  <c r="C2741" i="496"/>
  <c r="AV2740" i="496"/>
  <c r="AT2740" i="496"/>
  <c r="I2740" i="496"/>
  <c r="H2740" i="496"/>
  <c r="E2740" i="496"/>
  <c r="D2740" i="496"/>
  <c r="C2740" i="496"/>
  <c r="AV2739" i="496"/>
  <c r="AT2739" i="496"/>
  <c r="I2739" i="496"/>
  <c r="H2739" i="496"/>
  <c r="E2739" i="496"/>
  <c r="D2739" i="496"/>
  <c r="C2739" i="496"/>
  <c r="AV2738" i="496"/>
  <c r="AT2738" i="496"/>
  <c r="I2738" i="496"/>
  <c r="H2738" i="496"/>
  <c r="E2738" i="496"/>
  <c r="D2738" i="496"/>
  <c r="C2738" i="496"/>
  <c r="AV2737" i="496"/>
  <c r="AT2737" i="496"/>
  <c r="I2737" i="496"/>
  <c r="H2737" i="496"/>
  <c r="E2737" i="496"/>
  <c r="D2737" i="496"/>
  <c r="C2737" i="496"/>
  <c r="AV2736" i="496"/>
  <c r="AT2736" i="496"/>
  <c r="I2736" i="496"/>
  <c r="H2736" i="496"/>
  <c r="E2736" i="496"/>
  <c r="D2736" i="496"/>
  <c r="C2736" i="496"/>
  <c r="AV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I2712" i="496"/>
  <c r="H2712" i="496"/>
  <c r="E2712" i="496"/>
  <c r="D2712" i="496"/>
  <c r="C2712" i="496"/>
  <c r="AV2711" i="496"/>
  <c r="AT2711" i="496"/>
  <c r="I2711" i="496"/>
  <c r="H2711" i="496"/>
  <c r="E2711" i="496"/>
  <c r="D2711" i="496"/>
  <c r="C2711" i="496"/>
  <c r="AV2710" i="496"/>
  <c r="AT2710" i="496"/>
  <c r="I2710" i="496"/>
  <c r="H2710" i="496"/>
  <c r="E2710" i="496"/>
  <c r="D2710" i="496"/>
  <c r="C2710" i="496"/>
  <c r="AV2709" i="496"/>
  <c r="AT2709" i="496"/>
  <c r="I2709" i="496"/>
  <c r="H2709" i="496"/>
  <c r="E2709" i="496"/>
  <c r="D2709" i="496"/>
  <c r="C2709" i="496"/>
  <c r="AV2708" i="496"/>
  <c r="AT2708" i="496"/>
  <c r="I2708" i="496"/>
  <c r="H2708" i="496"/>
  <c r="E2708" i="496"/>
  <c r="D2708" i="496"/>
  <c r="C2708" i="496"/>
  <c r="AV2707" i="496"/>
  <c r="AT2707" i="496"/>
  <c r="I2707" i="496"/>
  <c r="H2707" i="496"/>
  <c r="E2707" i="496"/>
  <c r="D2707" i="496"/>
  <c r="C2707" i="496"/>
  <c r="AV2706" i="496"/>
  <c r="AT2706" i="496"/>
  <c r="I2706" i="496"/>
  <c r="H2706" i="496"/>
  <c r="E2706" i="496"/>
  <c r="D2706" i="496"/>
  <c r="C2706" i="496"/>
  <c r="AV2705" i="496"/>
  <c r="AT2705" i="496"/>
  <c r="I2705" i="496"/>
  <c r="H2705" i="496"/>
  <c r="E2705" i="496"/>
  <c r="D2705" i="496"/>
  <c r="C2705" i="496"/>
  <c r="AV2704" i="496"/>
  <c r="AT2704" i="496"/>
  <c r="I2704" i="496"/>
  <c r="H2704" i="496"/>
  <c r="E2704" i="496"/>
  <c r="D2704" i="496"/>
  <c r="C2704" i="496"/>
  <c r="AV2703" i="496"/>
  <c r="AT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AR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I2180" i="496"/>
  <c r="H2180" i="496"/>
  <c r="E2180" i="496"/>
  <c r="D2180" i="496"/>
  <c r="C2180" i="496"/>
  <c r="AV2179" i="496"/>
  <c r="I2179" i="496"/>
  <c r="H2179" i="496"/>
  <c r="E2179" i="496"/>
  <c r="D2179" i="496"/>
  <c r="C2179" i="496"/>
  <c r="AV2178" i="496"/>
  <c r="I2178" i="496"/>
  <c r="H2178" i="496"/>
  <c r="E2178" i="496"/>
  <c r="D2178" i="496"/>
  <c r="C2178" i="496"/>
  <c r="AV2177" i="496"/>
  <c r="I2177" i="496"/>
  <c r="H2177" i="496"/>
  <c r="E2177" i="496"/>
  <c r="D2177" i="496"/>
  <c r="C2177" i="496"/>
  <c r="AV2176" i="496"/>
  <c r="I2176" i="496"/>
  <c r="H2176" i="496"/>
  <c r="E2176" i="496"/>
  <c r="D2176" i="496"/>
  <c r="C2176" i="496"/>
  <c r="AV2175" i="496"/>
  <c r="I2175" i="496"/>
  <c r="H2175" i="496"/>
  <c r="E2175" i="496"/>
  <c r="D2175" i="496"/>
  <c r="C2175" i="496"/>
  <c r="AV2174" i="496"/>
  <c r="I2174" i="496"/>
  <c r="H2174" i="496"/>
  <c r="E2174" i="496"/>
  <c r="D2174" i="496"/>
  <c r="C2174" i="496"/>
  <c r="AV2173" i="496"/>
  <c r="I2173" i="496"/>
  <c r="H2173" i="496"/>
  <c r="E2173" i="496"/>
  <c r="D2173" i="496"/>
  <c r="C2173" i="496"/>
  <c r="AV2172" i="496"/>
  <c r="I2172" i="496"/>
  <c r="H2172" i="496"/>
  <c r="E2172" i="496"/>
  <c r="D2172" i="496"/>
  <c r="C2172" i="496"/>
  <c r="AV2171" i="496"/>
  <c r="I2171" i="496"/>
  <c r="H2171" i="496"/>
  <c r="E2171" i="496"/>
  <c r="D2171" i="496"/>
  <c r="C2171" i="496"/>
  <c r="AV2170" i="496"/>
  <c r="I2170" i="496"/>
  <c r="H2170" i="496"/>
  <c r="E2170" i="496"/>
  <c r="D2170" i="496"/>
  <c r="C2170" i="496"/>
  <c r="AV2169" i="496"/>
  <c r="I2169" i="496"/>
  <c r="H2169" i="496"/>
  <c r="E2169" i="496"/>
  <c r="D2169" i="496"/>
  <c r="C2169" i="496"/>
  <c r="AV2168" i="496"/>
  <c r="I2168" i="496"/>
  <c r="H2168" i="496"/>
  <c r="E2168" i="496"/>
  <c r="D2168" i="496"/>
  <c r="C2168" i="496"/>
  <c r="AV2167" i="496"/>
  <c r="I2167" i="496"/>
  <c r="H2167" i="496"/>
  <c r="E2167" i="496"/>
  <c r="D2167" i="496"/>
  <c r="C2167" i="496"/>
  <c r="AV2166" i="496"/>
  <c r="I2166" i="496"/>
  <c r="H2166" i="496"/>
  <c r="E2166" i="496"/>
  <c r="D2166" i="496"/>
  <c r="C2166" i="496"/>
  <c r="AV2165" i="496"/>
  <c r="I2165" i="496"/>
  <c r="H2165" i="496"/>
  <c r="E2165" i="496"/>
  <c r="D2165" i="496"/>
  <c r="C2165" i="496"/>
  <c r="AV2164" i="496"/>
  <c r="I2164" i="496"/>
  <c r="H2164" i="496"/>
  <c r="E2164" i="496"/>
  <c r="D2164" i="496"/>
  <c r="C2164" i="496"/>
  <c r="AV2163" i="496"/>
  <c r="I2163" i="496"/>
  <c r="H2163" i="496"/>
  <c r="E2163" i="496"/>
  <c r="D2163" i="496"/>
  <c r="C2163" i="496"/>
  <c r="AV2162" i="496"/>
  <c r="I2162" i="496"/>
  <c r="H2162" i="496"/>
  <c r="E2162" i="496"/>
  <c r="D2162" i="496"/>
  <c r="C2162" i="496"/>
  <c r="AV2161" i="496"/>
  <c r="I2161" i="496"/>
  <c r="H2161" i="496"/>
  <c r="E2161" i="496"/>
  <c r="D2161" i="496"/>
  <c r="C2161" i="496"/>
  <c r="AV2160" i="496"/>
  <c r="I2160" i="496"/>
  <c r="H2160" i="496"/>
  <c r="E2160" i="496"/>
  <c r="D2160" i="496"/>
  <c r="C2160" i="496"/>
  <c r="AV2159" i="496"/>
  <c r="I2159" i="496"/>
  <c r="H2159" i="496"/>
  <c r="E2159" i="496"/>
  <c r="D2159" i="496"/>
  <c r="C2159" i="496"/>
  <c r="AV2158" i="496"/>
  <c r="I2158" i="496"/>
  <c r="H2158" i="496"/>
  <c r="E2158" i="496"/>
  <c r="D2158" i="496"/>
  <c r="C2158" i="496"/>
  <c r="AV2157" i="496"/>
  <c r="I2157" i="496"/>
  <c r="H2157" i="496"/>
  <c r="E2157" i="496"/>
  <c r="D2157" i="496"/>
  <c r="C2157" i="496"/>
  <c r="AV2156" i="496"/>
  <c r="I2156" i="496"/>
  <c r="H2156" i="496"/>
  <c r="E2156" i="496"/>
  <c r="D2156" i="496"/>
  <c r="C2156" i="496"/>
  <c r="AV2155" i="496"/>
  <c r="I2155" i="496"/>
  <c r="H2155" i="496"/>
  <c r="E2155" i="496"/>
  <c r="D2155" i="496"/>
  <c r="C2155" i="496"/>
  <c r="AV2154" i="496"/>
  <c r="I2154" i="496"/>
  <c r="H2154" i="496"/>
  <c r="E2154" i="496"/>
  <c r="D2154" i="496"/>
  <c r="C2154" i="496"/>
  <c r="AV2153" i="496"/>
  <c r="I2153" i="496"/>
  <c r="H2153" i="496"/>
  <c r="E2153" i="496"/>
  <c r="D2153" i="496"/>
  <c r="C2153" i="496"/>
  <c r="AV2152" i="496"/>
  <c r="I2152" i="496"/>
  <c r="H2152" i="496"/>
  <c r="E2152" i="496"/>
  <c r="D2152" i="496"/>
  <c r="C2152" i="496"/>
  <c r="AV2151" i="496"/>
  <c r="I2151" i="496"/>
  <c r="H2151" i="496"/>
  <c r="E2151" i="496"/>
  <c r="D2151" i="496"/>
  <c r="C2151" i="496"/>
  <c r="AV2150" i="496"/>
  <c r="I2150" i="496"/>
  <c r="H2150" i="496"/>
  <c r="E2150" i="496"/>
  <c r="D2150" i="496"/>
  <c r="C2150" i="496"/>
  <c r="AV2149" i="496"/>
  <c r="I2149" i="496"/>
  <c r="H2149" i="496"/>
  <c r="E2149" i="496"/>
  <c r="D2149" i="496"/>
  <c r="C2149" i="496"/>
  <c r="AV2148" i="496"/>
  <c r="I2148" i="496"/>
  <c r="H2148" i="496"/>
  <c r="E2148" i="496"/>
  <c r="D2148" i="496"/>
  <c r="C2148" i="496"/>
  <c r="AV2147" i="496"/>
  <c r="I2147" i="496"/>
  <c r="H2147" i="496"/>
  <c r="E2147" i="496"/>
  <c r="D2147" i="496"/>
  <c r="C2147" i="496"/>
  <c r="AV2146" i="496"/>
  <c r="I2146" i="496"/>
  <c r="H2146" i="496"/>
  <c r="E2146" i="496"/>
  <c r="D2146" i="496"/>
  <c r="C2146" i="496"/>
  <c r="AV2145" i="496"/>
  <c r="I2145" i="496"/>
  <c r="H2145" i="496"/>
  <c r="E2145" i="496"/>
  <c r="D2145" i="496"/>
  <c r="C2145" i="496"/>
  <c r="AV2144" i="496"/>
  <c r="I2144" i="496"/>
  <c r="H2144" i="496"/>
  <c r="E2144" i="496"/>
  <c r="D2144" i="496"/>
  <c r="C2144" i="496"/>
  <c r="AV2143" i="496"/>
  <c r="I2143" i="496"/>
  <c r="H2143" i="496"/>
  <c r="E2143" i="496"/>
  <c r="D2143" i="496"/>
  <c r="C2143" i="496"/>
  <c r="AV2142" i="496"/>
  <c r="I2142" i="496"/>
  <c r="H2142" i="496"/>
  <c r="E2142" i="496"/>
  <c r="D2142" i="496"/>
  <c r="C2142" i="496"/>
  <c r="AV2141" i="496"/>
  <c r="I2141" i="496"/>
  <c r="H2141" i="496"/>
  <c r="E2141" i="496"/>
  <c r="D2141" i="496"/>
  <c r="C2141" i="496"/>
  <c r="AV2140" i="496"/>
  <c r="I2140" i="496"/>
  <c r="H2140" i="496"/>
  <c r="E2140" i="496"/>
  <c r="D2140" i="496"/>
  <c r="C2140" i="496"/>
  <c r="AV2139" i="496"/>
  <c r="I2139" i="496"/>
  <c r="H2139" i="496"/>
  <c r="E2139" i="496"/>
  <c r="D2139" i="496"/>
  <c r="C2139" i="496"/>
  <c r="AV2138" i="496"/>
  <c r="I2138" i="496"/>
  <c r="H2138" i="496"/>
  <c r="E2138" i="496"/>
  <c r="D2138" i="496"/>
  <c r="C2138" i="496"/>
  <c r="AV2137" i="496"/>
  <c r="I2137" i="496"/>
  <c r="H2137" i="496"/>
  <c r="E2137" i="496"/>
  <c r="D2137" i="496"/>
  <c r="C2137" i="496"/>
  <c r="AV2136" i="496"/>
  <c r="I2136" i="496"/>
  <c r="H2136" i="496"/>
  <c r="E2136" i="496"/>
  <c r="D2136" i="496"/>
  <c r="C2136" i="496"/>
  <c r="AV2135" i="496"/>
  <c r="I2135" i="496"/>
  <c r="H2135" i="496"/>
  <c r="E2135" i="496"/>
  <c r="D2135" i="496"/>
  <c r="C2135" i="496"/>
  <c r="AV2134" i="496"/>
  <c r="I2134" i="496"/>
  <c r="H2134" i="496"/>
  <c r="E2134" i="496"/>
  <c r="D2134" i="496"/>
  <c r="C2134" i="496"/>
  <c r="AV2133" i="496"/>
  <c r="I2133" i="496"/>
  <c r="H2133" i="496"/>
  <c r="E2133" i="496"/>
  <c r="D2133" i="496"/>
  <c r="C2133" i="496"/>
  <c r="AV2132" i="496"/>
  <c r="I2132" i="496"/>
  <c r="H2132" i="496"/>
  <c r="E2132" i="496"/>
  <c r="D2132" i="496"/>
  <c r="C2132" i="496"/>
  <c r="AV2131" i="496"/>
  <c r="I2131" i="496"/>
  <c r="H2131" i="496"/>
  <c r="E2131" i="496"/>
  <c r="D2131" i="496"/>
  <c r="C2131" i="496"/>
  <c r="AV2130" i="496"/>
  <c r="I2130" i="496"/>
  <c r="H2130" i="496"/>
  <c r="E2130" i="496"/>
  <c r="D2130" i="496"/>
  <c r="C2130" i="496"/>
  <c r="AV2129" i="496"/>
  <c r="I2129" i="496"/>
  <c r="H2129" i="496"/>
  <c r="E2129" i="496"/>
  <c r="D2129" i="496"/>
  <c r="C2129" i="496"/>
  <c r="AV2128" i="496"/>
  <c r="I2128" i="496"/>
  <c r="H2128" i="496"/>
  <c r="E2128" i="496"/>
  <c r="D2128" i="496"/>
  <c r="C2128" i="496"/>
  <c r="AV2127" i="496"/>
  <c r="I2127" i="496"/>
  <c r="H2127" i="496"/>
  <c r="E2127" i="496"/>
  <c r="D2127" i="496"/>
  <c r="C2127" i="496"/>
  <c r="AV2126" i="496"/>
  <c r="I2126" i="496"/>
  <c r="H2126" i="496"/>
  <c r="E2126" i="496"/>
  <c r="D2126" i="496"/>
  <c r="C2126" i="496"/>
  <c r="AV2125" i="496"/>
  <c r="I2125" i="496"/>
  <c r="H2125" i="496"/>
  <c r="E2125" i="496"/>
  <c r="D2125" i="496"/>
  <c r="C2125" i="496"/>
  <c r="AV2124" i="496"/>
  <c r="I2124" i="496"/>
  <c r="H2124" i="496"/>
  <c r="E2124" i="496"/>
  <c r="D2124" i="496"/>
  <c r="C2124" i="496"/>
  <c r="AV2123" i="496"/>
  <c r="I2123" i="496"/>
  <c r="H2123" i="496"/>
  <c r="E2123" i="496"/>
  <c r="D2123" i="496"/>
  <c r="C2123" i="496"/>
  <c r="AV2122" i="496"/>
  <c r="I2122" i="496"/>
  <c r="H2122" i="496"/>
  <c r="E2122" i="496"/>
  <c r="D2122" i="496"/>
  <c r="C2122" i="496"/>
  <c r="AV2121" i="496"/>
  <c r="I2121" i="496"/>
  <c r="H2121" i="496"/>
  <c r="E2121" i="496"/>
  <c r="D2121" i="496"/>
  <c r="C2121" i="496"/>
  <c r="AV2120" i="496"/>
  <c r="I2120" i="496"/>
  <c r="H2120" i="496"/>
  <c r="E2120" i="496"/>
  <c r="D2120" i="496"/>
  <c r="C2120" i="496"/>
  <c r="AV2119" i="496"/>
  <c r="I2119" i="496"/>
  <c r="H2119" i="496"/>
  <c r="E2119" i="496"/>
  <c r="D2119" i="496"/>
  <c r="C2119" i="496"/>
  <c r="AV2118" i="496"/>
  <c r="I2118" i="496"/>
  <c r="H2118" i="496"/>
  <c r="E2118" i="496"/>
  <c r="D2118" i="496"/>
  <c r="C2118" i="496"/>
  <c r="AV2117" i="496"/>
  <c r="I2117" i="496"/>
  <c r="H2117" i="496"/>
  <c r="E2117" i="496"/>
  <c r="D2117" i="496"/>
  <c r="C2117" i="496"/>
  <c r="AV2116" i="496"/>
  <c r="I2116" i="496"/>
  <c r="H2116" i="496"/>
  <c r="E2116" i="496"/>
  <c r="D2116" i="496"/>
  <c r="C2116" i="496"/>
  <c r="AV2115" i="496"/>
  <c r="I2115" i="496"/>
  <c r="H2115" i="496"/>
  <c r="E2115" i="496"/>
  <c r="D2115" i="496"/>
  <c r="C2115" i="496"/>
  <c r="AV2114" i="496"/>
  <c r="I2114" i="496"/>
  <c r="H2114" i="496"/>
  <c r="E2114" i="496"/>
  <c r="D2114" i="496"/>
  <c r="C2114" i="496"/>
  <c r="AV2113" i="496"/>
  <c r="I2113" i="496"/>
  <c r="H2113" i="496"/>
  <c r="E2113" i="496"/>
  <c r="D2113" i="496"/>
  <c r="C2113" i="496"/>
  <c r="AV2112" i="496"/>
  <c r="I2112" i="496"/>
  <c r="H2112" i="496"/>
  <c r="E2112" i="496"/>
  <c r="D2112" i="496"/>
  <c r="C2112" i="496"/>
  <c r="AV2111" i="496"/>
  <c r="I2111" i="496"/>
  <c r="H2111" i="496"/>
  <c r="E2111" i="496"/>
  <c r="D2111" i="496"/>
  <c r="C2111" i="496"/>
  <c r="AV2110" i="496"/>
  <c r="I2110" i="496"/>
  <c r="H2110" i="496"/>
  <c r="E2110" i="496"/>
  <c r="D2110" i="496"/>
  <c r="C2110" i="496"/>
  <c r="AV2109" i="496"/>
  <c r="I2109" i="496"/>
  <c r="H2109" i="496"/>
  <c r="E2109" i="496"/>
  <c r="D2109" i="496"/>
  <c r="C2109" i="496"/>
  <c r="AV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W1951" i="496"/>
  <c r="AV1951" i="496"/>
  <c r="AT1951" i="496"/>
  <c r="I1951" i="496"/>
  <c r="H1951" i="496"/>
  <c r="E1951" i="496"/>
  <c r="D1951" i="496"/>
  <c r="C1951" i="496"/>
  <c r="AW1950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AR1856" i="496"/>
  <c r="I1856" i="496"/>
  <c r="H1856" i="496"/>
  <c r="E1856" i="496"/>
  <c r="D1856" i="496"/>
  <c r="C1856" i="496"/>
  <c r="AV1855" i="496"/>
  <c r="AT1855" i="496"/>
  <c r="AR1855" i="496"/>
  <c r="I1855" i="496"/>
  <c r="H1855" i="496"/>
  <c r="E1855" i="496"/>
  <c r="D1855" i="496"/>
  <c r="C1855" i="496"/>
  <c r="AV1854" i="496"/>
  <c r="AT1854" i="496"/>
  <c r="AR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I1779" i="496"/>
  <c r="H1779" i="496"/>
  <c r="E1779" i="496"/>
  <c r="D1779" i="496"/>
  <c r="C1779" i="496"/>
  <c r="AV1778" i="496"/>
  <c r="AT1778" i="496"/>
  <c r="I1778" i="496"/>
  <c r="H1778" i="496"/>
  <c r="E1778" i="496"/>
  <c r="D1778" i="496"/>
  <c r="C1778" i="496"/>
  <c r="AV1777" i="496"/>
  <c r="AT1777" i="496"/>
  <c r="I1777" i="496"/>
  <c r="H1777" i="496"/>
  <c r="E1777" i="496"/>
  <c r="D1777" i="496"/>
  <c r="C1777" i="496"/>
  <c r="AV1776" i="496"/>
  <c r="AT1776" i="496"/>
  <c r="I1776" i="496"/>
  <c r="H1776" i="496"/>
  <c r="E1776" i="496"/>
  <c r="D1776" i="496"/>
  <c r="C1776" i="496"/>
  <c r="AV1775" i="496"/>
  <c r="AT1775" i="496"/>
  <c r="I1775" i="496"/>
  <c r="H1775" i="496"/>
  <c r="E1775" i="496"/>
  <c r="D1775" i="496"/>
  <c r="C1775" i="496"/>
  <c r="AV1774" i="496"/>
  <c r="AT1774" i="496"/>
  <c r="I1774" i="496"/>
  <c r="H1774" i="496"/>
  <c r="E1774" i="496"/>
  <c r="D1774" i="496"/>
  <c r="C1774" i="496"/>
  <c r="AV1773" i="496"/>
  <c r="AT1773" i="496"/>
  <c r="I1773" i="496"/>
  <c r="H1773" i="496"/>
  <c r="E1773" i="496"/>
  <c r="D1773" i="496"/>
  <c r="C1773" i="496"/>
  <c r="AV1772" i="496"/>
  <c r="AT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I1770" i="496"/>
  <c r="H1770" i="496"/>
  <c r="E1770" i="496"/>
  <c r="D1770" i="496"/>
  <c r="C1770" i="496"/>
  <c r="AV1769" i="496"/>
  <c r="AT1769" i="496"/>
  <c r="I1769" i="496"/>
  <c r="H1769" i="496"/>
  <c r="E1769" i="496"/>
  <c r="D1769" i="496"/>
  <c r="C1769" i="496"/>
  <c r="AV1768" i="496"/>
  <c r="AT1768" i="496"/>
  <c r="I1768" i="496"/>
  <c r="H1768" i="496"/>
  <c r="E1768" i="496"/>
  <c r="D1768" i="496"/>
  <c r="C1768" i="496"/>
  <c r="AV1767" i="496"/>
  <c r="AT1767" i="496"/>
  <c r="I1767" i="496"/>
  <c r="H1767" i="496"/>
  <c r="E1767" i="496"/>
  <c r="D1767" i="496"/>
  <c r="C1767" i="496"/>
  <c r="AV1766" i="496"/>
  <c r="AT1766" i="496"/>
  <c r="I1766" i="496"/>
  <c r="H1766" i="496"/>
  <c r="E1766" i="496"/>
  <c r="D1766" i="496"/>
  <c r="C1766" i="496"/>
  <c r="AV1765" i="496"/>
  <c r="AT1765" i="496"/>
  <c r="I1765" i="496"/>
  <c r="H1765" i="496"/>
  <c r="E1765" i="496"/>
  <c r="D1765" i="496"/>
  <c r="C1765" i="496"/>
  <c r="AV1764" i="496"/>
  <c r="AT1764" i="496"/>
  <c r="I1764" i="496"/>
  <c r="H1764" i="496"/>
  <c r="E1764" i="496"/>
  <c r="D1764" i="496"/>
  <c r="C1764" i="496"/>
  <c r="AV1763" i="496"/>
  <c r="AT1763" i="496"/>
  <c r="I1763" i="496"/>
  <c r="H1763" i="496"/>
  <c r="E1763" i="496"/>
  <c r="D1763" i="496"/>
  <c r="C1763" i="496"/>
  <c r="AV1762" i="496"/>
  <c r="AT1762" i="496"/>
  <c r="I1762" i="496"/>
  <c r="H1762" i="496"/>
  <c r="E1762" i="496"/>
  <c r="D1762" i="496"/>
  <c r="C1762" i="496"/>
  <c r="AV1761" i="496"/>
  <c r="AT1761" i="496"/>
  <c r="I1761" i="496"/>
  <c r="H1761" i="496"/>
  <c r="E1761" i="496"/>
  <c r="D1761" i="496"/>
  <c r="C1761" i="496"/>
  <c r="AV1760" i="496"/>
  <c r="AT1760" i="496"/>
  <c r="I1760" i="496"/>
  <c r="H1760" i="496"/>
  <c r="E1760" i="496"/>
  <c r="D1760" i="496"/>
  <c r="C1760" i="496"/>
  <c r="AV1759" i="496"/>
  <c r="AT1759" i="496"/>
  <c r="I1759" i="496"/>
  <c r="H1759" i="496"/>
  <c r="E1759" i="496"/>
  <c r="D1759" i="496"/>
  <c r="C1759" i="496"/>
  <c r="AV1758" i="496"/>
  <c r="AT1758" i="496"/>
  <c r="I1758" i="496"/>
  <c r="H1758" i="496"/>
  <c r="E1758" i="496"/>
  <c r="D1758" i="496"/>
  <c r="C1758" i="496"/>
  <c r="AV1757" i="496"/>
  <c r="AT1757" i="496"/>
  <c r="I1757" i="496"/>
  <c r="H1757" i="496"/>
  <c r="E1757" i="496"/>
  <c r="D1757" i="496"/>
  <c r="C1757" i="496"/>
  <c r="AV1756" i="496"/>
  <c r="AT1756" i="496"/>
  <c r="I1756" i="496"/>
  <c r="H1756" i="496"/>
  <c r="E1756" i="496"/>
  <c r="D1756" i="496"/>
  <c r="C1756" i="496"/>
  <c r="AV1755" i="496"/>
  <c r="AT1755" i="496"/>
  <c r="I1755" i="496"/>
  <c r="H1755" i="496"/>
  <c r="E1755" i="496"/>
  <c r="D1755" i="496"/>
  <c r="C1755" i="496"/>
  <c r="AV1754" i="496"/>
  <c r="AT1754" i="496"/>
  <c r="I1754" i="496"/>
  <c r="H1754" i="496"/>
  <c r="E1754" i="496"/>
  <c r="D1754" i="496"/>
  <c r="C1754" i="496"/>
  <c r="AV1753" i="496"/>
  <c r="AT1753" i="496"/>
  <c r="I1753" i="496"/>
  <c r="H1753" i="496"/>
  <c r="E1753" i="496"/>
  <c r="D1753" i="496"/>
  <c r="C1753" i="496"/>
  <c r="AV1752" i="496"/>
  <c r="AT1752" i="496"/>
  <c r="I1752" i="496"/>
  <c r="H1752" i="496"/>
  <c r="E1752" i="496"/>
  <c r="D1752" i="496"/>
  <c r="C1752" i="496"/>
  <c r="AV1751" i="496"/>
  <c r="AT1751" i="496"/>
  <c r="I1751" i="496"/>
  <c r="H1751" i="496"/>
  <c r="E1751" i="496"/>
  <c r="D1751" i="496"/>
  <c r="C1751" i="496"/>
  <c r="AV1750" i="496"/>
  <c r="AT1750" i="496"/>
  <c r="I1750" i="496"/>
  <c r="H1750" i="496"/>
  <c r="E1750" i="496"/>
  <c r="D1750" i="496"/>
  <c r="C1750" i="496"/>
  <c r="AV1749" i="496"/>
  <c r="AT1749" i="496"/>
  <c r="I1749" i="496"/>
  <c r="H1749" i="496"/>
  <c r="E1749" i="496"/>
  <c r="D1749" i="496"/>
  <c r="C1749" i="496"/>
  <c r="AV1748" i="496"/>
  <c r="AT1748" i="496"/>
  <c r="I1748" i="496"/>
  <c r="H1748" i="496"/>
  <c r="E1748" i="496"/>
  <c r="D1748" i="496"/>
  <c r="C1748" i="496"/>
  <c r="AV1747" i="496"/>
  <c r="AT1747" i="496"/>
  <c r="I1747" i="496"/>
  <c r="H1747" i="496"/>
  <c r="E1747" i="496"/>
  <c r="D1747" i="496"/>
  <c r="C1747" i="496"/>
  <c r="AV1746" i="496"/>
  <c r="AT1746" i="496"/>
  <c r="I1746" i="496"/>
  <c r="H1746" i="496"/>
  <c r="E1746" i="496"/>
  <c r="D1746" i="496"/>
  <c r="C1746" i="496"/>
  <c r="AV1745" i="496"/>
  <c r="AT1745" i="496"/>
  <c r="I1745" i="496"/>
  <c r="H1745" i="496"/>
  <c r="E1745" i="496"/>
  <c r="D1745" i="496"/>
  <c r="C1745" i="496"/>
  <c r="AW1744" i="496"/>
  <c r="AV1744" i="496"/>
  <c r="AT1744" i="496"/>
  <c r="I1744" i="496"/>
  <c r="H1744" i="496"/>
  <c r="E1744" i="496"/>
  <c r="D1744" i="496"/>
  <c r="C1744" i="496"/>
  <c r="AV1743" i="496"/>
  <c r="AT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AR1630" i="496"/>
  <c r="I1630" i="496"/>
  <c r="H1630" i="496"/>
  <c r="E1630" i="496"/>
  <c r="D1630" i="496"/>
  <c r="C1630" i="496"/>
  <c r="AV1629" i="496"/>
  <c r="AT1629" i="496"/>
  <c r="AR1629" i="496"/>
  <c r="I1629" i="496"/>
  <c r="H1629" i="496"/>
  <c r="E1629" i="496"/>
  <c r="D1629" i="496"/>
  <c r="C1629" i="496"/>
  <c r="AV1628" i="496"/>
  <c r="AT1628" i="496"/>
  <c r="AR1628" i="496"/>
  <c r="I1628" i="496"/>
  <c r="H1628" i="496"/>
  <c r="E1628" i="496"/>
  <c r="D1628" i="496"/>
  <c r="C1628" i="496"/>
  <c r="AV1627" i="496"/>
  <c r="AT1627" i="496"/>
  <c r="AR1627" i="496"/>
  <c r="I1627" i="496"/>
  <c r="H1627" i="496"/>
  <c r="E1627" i="496"/>
  <c r="D1627" i="496"/>
  <c r="C1627" i="496"/>
  <c r="AV1626" i="496"/>
  <c r="AT1626" i="496"/>
  <c r="AR1626" i="496"/>
  <c r="I1626" i="496"/>
  <c r="H1626" i="496"/>
  <c r="E1626" i="496"/>
  <c r="D1626" i="496"/>
  <c r="C1626" i="496"/>
  <c r="AV1625" i="496"/>
  <c r="AT1625" i="496"/>
  <c r="AR1625" i="496"/>
  <c r="I1625" i="496"/>
  <c r="H1625" i="496"/>
  <c r="E1625" i="496"/>
  <c r="D1625" i="496"/>
  <c r="C1625" i="496"/>
  <c r="AV1624" i="496"/>
  <c r="AT1624" i="496"/>
  <c r="AR1624" i="496"/>
  <c r="I1624" i="496"/>
  <c r="H1624" i="496"/>
  <c r="E1624" i="496"/>
  <c r="D1624" i="496"/>
  <c r="C1624" i="496"/>
  <c r="AV1623" i="496"/>
  <c r="AT1623" i="496"/>
  <c r="AR1623" i="496"/>
  <c r="I1623" i="496"/>
  <c r="H1623" i="496"/>
  <c r="E1623" i="496"/>
  <c r="D1623" i="496"/>
  <c r="C1623" i="496"/>
  <c r="AV1622" i="496"/>
  <c r="AT1622" i="496"/>
  <c r="AR1622" i="496"/>
  <c r="I1622" i="496"/>
  <c r="H1622" i="496"/>
  <c r="E1622" i="496"/>
  <c r="D1622" i="496"/>
  <c r="C1622" i="496"/>
  <c r="AV1621" i="496"/>
  <c r="AT1621" i="496"/>
  <c r="AR1621" i="496"/>
  <c r="I1621" i="496"/>
  <c r="H1621" i="496"/>
  <c r="E1621" i="496"/>
  <c r="D1621" i="496"/>
  <c r="C1621" i="496"/>
  <c r="AV1620" i="496"/>
  <c r="AT1620" i="496"/>
  <c r="AR1620" i="496"/>
  <c r="I1620" i="496"/>
  <c r="H1620" i="496"/>
  <c r="E1620" i="496"/>
  <c r="D1620" i="496"/>
  <c r="C1620" i="496"/>
  <c r="AV1619" i="496"/>
  <c r="AT1619" i="496"/>
  <c r="AR1619" i="496"/>
  <c r="I1619" i="496"/>
  <c r="H1619" i="496"/>
  <c r="E1619" i="496"/>
  <c r="D1619" i="496"/>
  <c r="C1619" i="496"/>
  <c r="AV1618" i="496"/>
  <c r="AT1618" i="496"/>
  <c r="AR1618" i="496"/>
  <c r="I1618" i="496"/>
  <c r="H1618" i="496"/>
  <c r="E1618" i="496"/>
  <c r="D1618" i="496"/>
  <c r="C1618" i="496"/>
  <c r="AV1617" i="496"/>
  <c r="AT1617" i="496"/>
  <c r="AR1617" i="496"/>
  <c r="I1617" i="496"/>
  <c r="H1617" i="496"/>
  <c r="E1617" i="496"/>
  <c r="D1617" i="496"/>
  <c r="C1617" i="496"/>
  <c r="AV1616" i="496"/>
  <c r="AT1616" i="496"/>
  <c r="AR1616" i="496"/>
  <c r="I1616" i="496"/>
  <c r="H1616" i="496"/>
  <c r="E1616" i="496"/>
  <c r="D1616" i="496"/>
  <c r="C1616" i="496"/>
  <c r="AV1615" i="496"/>
  <c r="AT1615" i="496"/>
  <c r="AR1615" i="496"/>
  <c r="I1615" i="496"/>
  <c r="H1615" i="496"/>
  <c r="E1615" i="496"/>
  <c r="D1615" i="496"/>
  <c r="C1615" i="496"/>
  <c r="AV1614" i="496"/>
  <c r="AT1614" i="496"/>
  <c r="AR1614" i="496"/>
  <c r="I1614" i="496"/>
  <c r="H1614" i="496"/>
  <c r="E1614" i="496"/>
  <c r="D1614" i="496"/>
  <c r="C1614" i="496"/>
  <c r="AV1613" i="496"/>
  <c r="AT1613" i="496"/>
  <c r="AR1613" i="496"/>
  <c r="I1613" i="496"/>
  <c r="H1613" i="496"/>
  <c r="E1613" i="496"/>
  <c r="D1613" i="496"/>
  <c r="C1613" i="496"/>
  <c r="AV1612" i="496"/>
  <c r="AT1612" i="496"/>
  <c r="AR1612" i="496"/>
  <c r="I1612" i="496"/>
  <c r="H1612" i="496"/>
  <c r="E1612" i="496"/>
  <c r="D1612" i="496"/>
  <c r="C1612" i="496"/>
  <c r="AV1611" i="496"/>
  <c r="AT1611" i="496"/>
  <c r="AR1611" i="496"/>
  <c r="I1611" i="496"/>
  <c r="H1611" i="496"/>
  <c r="E1611" i="496"/>
  <c r="D1611" i="496"/>
  <c r="C1611" i="496"/>
  <c r="AV1610" i="496"/>
  <c r="AT1610" i="496"/>
  <c r="AR1610" i="496"/>
  <c r="I1610" i="496"/>
  <c r="H1610" i="496"/>
  <c r="E1610" i="496"/>
  <c r="D1610" i="496"/>
  <c r="C1610" i="496"/>
  <c r="AV1609" i="496"/>
  <c r="AT1609" i="496"/>
  <c r="AR1609" i="496"/>
  <c r="I1609" i="496"/>
  <c r="H1609" i="496"/>
  <c r="E1609" i="496"/>
  <c r="D1609" i="496"/>
  <c r="C1609" i="496"/>
  <c r="AV1608" i="496"/>
  <c r="AT1608" i="496"/>
  <c r="AR1608" i="496"/>
  <c r="I1608" i="496"/>
  <c r="H1608" i="496"/>
  <c r="E1608" i="496"/>
  <c r="D1608" i="496"/>
  <c r="C1608" i="496"/>
  <c r="AV1607" i="496"/>
  <c r="AT1607" i="496"/>
  <c r="AR1607" i="496"/>
  <c r="I1607" i="496"/>
  <c r="H1607" i="496"/>
  <c r="E1607" i="496"/>
  <c r="D1607" i="496"/>
  <c r="C1607" i="496"/>
  <c r="AV1606" i="496"/>
  <c r="AT1606" i="496"/>
  <c r="AR1606" i="496"/>
  <c r="I1606" i="496"/>
  <c r="H1606" i="496"/>
  <c r="E1606" i="496"/>
  <c r="D1606" i="496"/>
  <c r="C1606" i="496"/>
  <c r="AV1605" i="496"/>
  <c r="AT1605" i="496"/>
  <c r="AR1605" i="496"/>
  <c r="I1605" i="496"/>
  <c r="H1605" i="496"/>
  <c r="E1605" i="496"/>
  <c r="D1605" i="496"/>
  <c r="C1605" i="496"/>
  <c r="AV1604" i="496"/>
  <c r="AT1604" i="496"/>
  <c r="AR1604" i="496"/>
  <c r="I1604" i="496"/>
  <c r="H1604" i="496"/>
  <c r="E1604" i="496"/>
  <c r="D1604" i="496"/>
  <c r="C1604" i="496"/>
  <c r="AV1603" i="496"/>
  <c r="AT1603" i="496"/>
  <c r="AR1603" i="496"/>
  <c r="I1603" i="496"/>
  <c r="H1603" i="496"/>
  <c r="E1603" i="496"/>
  <c r="D1603" i="496"/>
  <c r="C1603" i="496"/>
  <c r="AV1602" i="496"/>
  <c r="AT1602" i="496"/>
  <c r="AR1602" i="496"/>
  <c r="I1602" i="496"/>
  <c r="H1602" i="496"/>
  <c r="E1602" i="496"/>
  <c r="D1602" i="496"/>
  <c r="C1602" i="496"/>
  <c r="AV1601" i="496"/>
  <c r="AT1601" i="496"/>
  <c r="AR1601" i="496"/>
  <c r="I1601" i="496"/>
  <c r="H1601" i="496"/>
  <c r="E1601" i="496"/>
  <c r="D1601" i="496"/>
  <c r="C1601" i="496"/>
  <c r="AV1600" i="496"/>
  <c r="AT1600" i="496"/>
  <c r="AR1600" i="496"/>
  <c r="I1600" i="496"/>
  <c r="H1600" i="496"/>
  <c r="E1600" i="496"/>
  <c r="D1600" i="496"/>
  <c r="C1600" i="496"/>
  <c r="AV1599" i="496"/>
  <c r="AT1599" i="496"/>
  <c r="AR1599" i="496"/>
  <c r="I1599" i="496"/>
  <c r="H1599" i="496"/>
  <c r="E1599" i="496"/>
  <c r="D1599" i="496"/>
  <c r="C1599" i="496"/>
  <c r="AV1598" i="496"/>
  <c r="AT1598" i="496"/>
  <c r="AR1598" i="496"/>
  <c r="I1598" i="496"/>
  <c r="H1598" i="496"/>
  <c r="E1598" i="496"/>
  <c r="D1598" i="496"/>
  <c r="C1598" i="496"/>
  <c r="AV1597" i="496"/>
  <c r="AT1597" i="496"/>
  <c r="AR1597" i="496"/>
  <c r="I1597" i="496"/>
  <c r="H1597" i="496"/>
  <c r="E1597" i="496"/>
  <c r="D1597" i="496"/>
  <c r="C1597" i="496"/>
  <c r="AV1596" i="496"/>
  <c r="AT1596" i="496"/>
  <c r="AR1596" i="496"/>
  <c r="I1596" i="496"/>
  <c r="H1596" i="496"/>
  <c r="E1596" i="496"/>
  <c r="D1596" i="496"/>
  <c r="C1596" i="496"/>
  <c r="AV1595" i="496"/>
  <c r="AT1595" i="496"/>
  <c r="AR1595" i="496"/>
  <c r="I1595" i="496"/>
  <c r="H1595" i="496"/>
  <c r="E1595" i="496"/>
  <c r="D1595" i="496"/>
  <c r="C1595" i="496"/>
  <c r="AV1594" i="496"/>
  <c r="AT1594" i="496"/>
  <c r="AR1594" i="496"/>
  <c r="I1594" i="496"/>
  <c r="H1594" i="496"/>
  <c r="E1594" i="496"/>
  <c r="D1594" i="496"/>
  <c r="C1594" i="496"/>
  <c r="AV1593" i="496"/>
  <c r="AT1593" i="496"/>
  <c r="AR1593" i="496"/>
  <c r="I1593" i="496"/>
  <c r="H1593" i="496"/>
  <c r="E1593" i="496"/>
  <c r="D1593" i="496"/>
  <c r="C1593" i="496"/>
  <c r="AV1592" i="496"/>
  <c r="AT1592" i="496"/>
  <c r="AR1592" i="496"/>
  <c r="I1592" i="496"/>
  <c r="H1592" i="496"/>
  <c r="E1592" i="496"/>
  <c r="D1592" i="496"/>
  <c r="C1592" i="496"/>
  <c r="AV1591" i="496"/>
  <c r="AT1591" i="496"/>
  <c r="AR1591" i="496"/>
  <c r="I1591" i="496"/>
  <c r="H1591" i="496"/>
  <c r="E1591" i="496"/>
  <c r="D1591" i="496"/>
  <c r="C1591" i="496"/>
  <c r="AV1590" i="496"/>
  <c r="AT1590" i="496"/>
  <c r="AR1590" i="496"/>
  <c r="I1590" i="496"/>
  <c r="H1590" i="496"/>
  <c r="E1590" i="496"/>
  <c r="D1590" i="496"/>
  <c r="C1590" i="496"/>
  <c r="AV1589" i="496"/>
  <c r="AT1589" i="496"/>
  <c r="AR1589" i="496"/>
  <c r="I1589" i="496"/>
  <c r="H1589" i="496"/>
  <c r="E1589" i="496"/>
  <c r="D1589" i="496"/>
  <c r="C1589" i="496"/>
  <c r="AV1588" i="496"/>
  <c r="AT1588" i="496"/>
  <c r="AR1588" i="496"/>
  <c r="I1588" i="496"/>
  <c r="H1588" i="496"/>
  <c r="E1588" i="496"/>
  <c r="D1588" i="496"/>
  <c r="C1588" i="496"/>
  <c r="AV1587" i="496"/>
  <c r="AT1587" i="496"/>
  <c r="AR1587" i="496"/>
  <c r="I1587" i="496"/>
  <c r="H1587" i="496"/>
  <c r="E1587" i="496"/>
  <c r="D1587" i="496"/>
  <c r="C1587" i="496"/>
  <c r="AV1586" i="496"/>
  <c r="AT1586" i="496"/>
  <c r="AR1586" i="496"/>
  <c r="I1586" i="496"/>
  <c r="H1586" i="496"/>
  <c r="E1586" i="496"/>
  <c r="D1586" i="496"/>
  <c r="C1586" i="496"/>
  <c r="AV1585" i="496"/>
  <c r="AT1585" i="496"/>
  <c r="AR1585" i="496"/>
  <c r="I1585" i="496"/>
  <c r="H1585" i="496"/>
  <c r="E1585" i="496"/>
  <c r="D1585" i="496"/>
  <c r="C1585" i="496"/>
  <c r="AV1584" i="496"/>
  <c r="AT1584" i="496"/>
  <c r="AR1584" i="496"/>
  <c r="I1584" i="496"/>
  <c r="H1584" i="496"/>
  <c r="E1584" i="496"/>
  <c r="D1584" i="496"/>
  <c r="C1584" i="496"/>
  <c r="AV1583" i="496"/>
  <c r="AT1583" i="496"/>
  <c r="AR1583" i="496"/>
  <c r="I1583" i="496"/>
  <c r="H1583" i="496"/>
  <c r="E1583" i="496"/>
  <c r="D1583" i="496"/>
  <c r="C1583" i="496"/>
  <c r="AV1582" i="496"/>
  <c r="AT1582" i="496"/>
  <c r="AR1582" i="496"/>
  <c r="I1582" i="496"/>
  <c r="H1582" i="496"/>
  <c r="E1582" i="496"/>
  <c r="D1582" i="496"/>
  <c r="C1582" i="496"/>
  <c r="AV1581" i="496"/>
  <c r="AT1581" i="496"/>
  <c r="AR1581" i="496"/>
  <c r="I1581" i="496"/>
  <c r="H1581" i="496"/>
  <c r="E1581" i="496"/>
  <c r="D1581" i="496"/>
  <c r="C1581" i="496"/>
  <c r="AV1580" i="496"/>
  <c r="AT1580" i="496"/>
  <c r="AR1580" i="496"/>
  <c r="I1580" i="496"/>
  <c r="H1580" i="496"/>
  <c r="E1580" i="496"/>
  <c r="D1580" i="496"/>
  <c r="C1580" i="496"/>
  <c r="AV1579" i="496"/>
  <c r="AT1579" i="496"/>
  <c r="AR1579" i="496"/>
  <c r="I1579" i="496"/>
  <c r="H1579" i="496"/>
  <c r="E1579" i="496"/>
  <c r="D1579" i="496"/>
  <c r="C1579" i="496"/>
  <c r="AV1578" i="496"/>
  <c r="AT1578" i="496"/>
  <c r="AR1578" i="496"/>
  <c r="I1578" i="496"/>
  <c r="H1578" i="496"/>
  <c r="E1578" i="496"/>
  <c r="D1578" i="496"/>
  <c r="C1578" i="496"/>
  <c r="AV1577" i="496"/>
  <c r="AT1577" i="496"/>
  <c r="AR1577" i="496"/>
  <c r="I1577" i="496"/>
  <c r="H1577" i="496"/>
  <c r="E1577" i="496"/>
  <c r="D1577" i="496"/>
  <c r="C1577" i="496"/>
  <c r="AV1576" i="496"/>
  <c r="AT1576" i="496"/>
  <c r="AR1576" i="496"/>
  <c r="I1576" i="496"/>
  <c r="H1576" i="496"/>
  <c r="E1576" i="496"/>
  <c r="D1576" i="496"/>
  <c r="C1576" i="496"/>
  <c r="AV1575" i="496"/>
  <c r="AT1575" i="496"/>
  <c r="AR1575" i="496"/>
  <c r="I1575" i="496"/>
  <c r="H1575" i="496"/>
  <c r="E1575" i="496"/>
  <c r="D1575" i="496"/>
  <c r="C1575" i="496"/>
  <c r="AV1574" i="496"/>
  <c r="AT1574" i="496"/>
  <c r="AR1574" i="496"/>
  <c r="I1574" i="496"/>
  <c r="H1574" i="496"/>
  <c r="E1574" i="496"/>
  <c r="D1574" i="496"/>
  <c r="C1574" i="496"/>
  <c r="AV1573" i="496"/>
  <c r="AT1573" i="496"/>
  <c r="AR1573" i="496"/>
  <c r="I1573" i="496"/>
  <c r="H1573" i="496"/>
  <c r="E1573" i="496"/>
  <c r="D1573" i="496"/>
  <c r="C1573" i="496"/>
  <c r="AV1572" i="496"/>
  <c r="AT1572" i="496"/>
  <c r="AR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W1393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I1365" i="496"/>
  <c r="H1365" i="496"/>
  <c r="E1365" i="496"/>
  <c r="D1365" i="496"/>
  <c r="C1365" i="496"/>
  <c r="AV1364" i="496"/>
  <c r="AT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W1334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W1088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W1086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W975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I953" i="496"/>
  <c r="H953" i="496"/>
  <c r="E953" i="496"/>
  <c r="D953" i="496"/>
  <c r="C953" i="496"/>
  <c r="AV952" i="496"/>
  <c r="AT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I846" i="496"/>
  <c r="H846" i="496"/>
  <c r="E846" i="496"/>
  <c r="D846" i="496"/>
  <c r="C846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W835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I782" i="496"/>
  <c r="H782" i="496"/>
  <c r="E782" i="496"/>
  <c r="D782" i="496"/>
  <c r="C782" i="496"/>
  <c r="AW781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W670" i="496"/>
  <c r="AV670" i="496"/>
  <c r="AT670" i="496"/>
  <c r="I670" i="496"/>
  <c r="H670" i="496"/>
  <c r="E670" i="496"/>
  <c r="D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W663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I650" i="496"/>
  <c r="H650" i="496"/>
  <c r="E650" i="496"/>
  <c r="D650" i="496"/>
  <c r="C650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I636" i="496"/>
  <c r="H636" i="496"/>
  <c r="E636" i="496"/>
  <c r="D636" i="496"/>
  <c r="C636" i="496"/>
  <c r="AV635" i="496"/>
  <c r="AT635" i="496"/>
  <c r="I635" i="496"/>
  <c r="H635" i="496"/>
  <c r="E635" i="496"/>
  <c r="D635" i="496"/>
  <c r="C635" i="496"/>
  <c r="AV634" i="496"/>
  <c r="AT634" i="496"/>
  <c r="I634" i="496"/>
  <c r="H634" i="496"/>
  <c r="E634" i="496"/>
  <c r="D634" i="496"/>
  <c r="C634" i="496"/>
  <c r="AV633" i="496"/>
  <c r="AT633" i="496"/>
  <c r="I633" i="496"/>
  <c r="H633" i="496"/>
  <c r="E633" i="496"/>
  <c r="D633" i="496"/>
  <c r="C633" i="496"/>
  <c r="AV632" i="496"/>
  <c r="AT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W628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I622" i="496"/>
  <c r="H622" i="496"/>
  <c r="E622" i="496"/>
  <c r="D622" i="496"/>
  <c r="C622" i="496"/>
  <c r="AV621" i="496"/>
  <c r="AT621" i="496"/>
  <c r="I621" i="496"/>
  <c r="H621" i="496"/>
  <c r="E621" i="496"/>
  <c r="D621" i="496"/>
  <c r="C621" i="496"/>
  <c r="AV620" i="496"/>
  <c r="AT620" i="496"/>
  <c r="I620" i="496"/>
  <c r="H620" i="496"/>
  <c r="E620" i="496"/>
  <c r="D620" i="496"/>
  <c r="C620" i="496"/>
  <c r="AV619" i="496"/>
  <c r="AT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V614" i="496"/>
  <c r="AT614" i="496"/>
  <c r="I614" i="496"/>
  <c r="H614" i="496"/>
  <c r="E614" i="496"/>
  <c r="D614" i="496"/>
  <c r="C614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I611" i="496"/>
  <c r="H611" i="496"/>
  <c r="E611" i="496"/>
  <c r="D611" i="496"/>
  <c r="C611" i="496"/>
  <c r="AV610" i="496"/>
  <c r="AT610" i="496"/>
  <c r="I610" i="496"/>
  <c r="H610" i="496"/>
  <c r="E610" i="496"/>
  <c r="D610" i="496"/>
  <c r="C610" i="496"/>
  <c r="AV609" i="496"/>
  <c r="AT609" i="496"/>
  <c r="I609" i="496"/>
  <c r="H609" i="496"/>
  <c r="E609" i="496"/>
  <c r="D609" i="496"/>
  <c r="C609" i="496"/>
  <c r="AV608" i="496"/>
  <c r="AT608" i="496"/>
  <c r="I608" i="496"/>
  <c r="H608" i="496"/>
  <c r="E608" i="496"/>
  <c r="D608" i="496"/>
  <c r="C608" i="496"/>
  <c r="AV607" i="496"/>
  <c r="AT607" i="496"/>
  <c r="I607" i="496"/>
  <c r="H607" i="496"/>
  <c r="E607" i="496"/>
  <c r="D607" i="496"/>
  <c r="C607" i="496"/>
  <c r="AV606" i="496"/>
  <c r="AT606" i="496"/>
  <c r="I606" i="496"/>
  <c r="H606" i="496"/>
  <c r="E606" i="496"/>
  <c r="D606" i="496"/>
  <c r="C606" i="496"/>
  <c r="AV605" i="496"/>
  <c r="AT605" i="496"/>
  <c r="I605" i="496"/>
  <c r="H605" i="496"/>
  <c r="E605" i="496"/>
  <c r="D605" i="496"/>
  <c r="C605" i="496"/>
  <c r="AV604" i="496"/>
  <c r="AT604" i="496"/>
  <c r="I604" i="496"/>
  <c r="H604" i="496"/>
  <c r="E604" i="496"/>
  <c r="D604" i="496"/>
  <c r="C604" i="496"/>
  <c r="AV603" i="496"/>
  <c r="AT603" i="496"/>
  <c r="I603" i="496"/>
  <c r="H603" i="496"/>
  <c r="E603" i="496"/>
  <c r="D603" i="496"/>
  <c r="C603" i="496"/>
  <c r="AV602" i="496"/>
  <c r="AT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I598" i="496"/>
  <c r="H598" i="496"/>
  <c r="E598" i="496"/>
  <c r="D598" i="496"/>
  <c r="C598" i="496"/>
  <c r="AV597" i="496"/>
  <c r="AT597" i="496"/>
  <c r="I597" i="496"/>
  <c r="H597" i="496"/>
  <c r="E597" i="496"/>
  <c r="D597" i="496"/>
  <c r="C597" i="496"/>
  <c r="AV596" i="496"/>
  <c r="AT596" i="496"/>
  <c r="I596" i="496"/>
  <c r="H596" i="496"/>
  <c r="E596" i="496"/>
  <c r="D596" i="496"/>
  <c r="C596" i="496"/>
  <c r="AV595" i="496"/>
  <c r="AT595" i="496"/>
  <c r="I595" i="496"/>
  <c r="H595" i="496"/>
  <c r="E595" i="496"/>
  <c r="D595" i="496"/>
  <c r="C595" i="496"/>
  <c r="AV594" i="496"/>
  <c r="AT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T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I562" i="496"/>
  <c r="H562" i="496"/>
  <c r="E562" i="496"/>
  <c r="D562" i="496"/>
  <c r="C562" i="496"/>
  <c r="AV561" i="496"/>
  <c r="AT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V540" i="496"/>
  <c r="AT540" i="496"/>
  <c r="I540" i="496"/>
  <c r="H540" i="496"/>
  <c r="E540" i="496"/>
  <c r="D540" i="496"/>
  <c r="C540" i="496"/>
  <c r="AV539" i="496"/>
  <c r="AT539" i="496"/>
  <c r="I539" i="496"/>
  <c r="H539" i="496"/>
  <c r="E539" i="496"/>
  <c r="D539" i="496"/>
  <c r="C539" i="496"/>
  <c r="AV538" i="496"/>
  <c r="AT538" i="496"/>
  <c r="I538" i="496"/>
  <c r="H538" i="496"/>
  <c r="E538" i="496"/>
  <c r="D538" i="496"/>
  <c r="C538" i="496"/>
  <c r="AV537" i="496"/>
  <c r="AT537" i="496"/>
  <c r="I537" i="496"/>
  <c r="H537" i="496"/>
  <c r="E537" i="496"/>
  <c r="D537" i="496"/>
  <c r="C537" i="496"/>
  <c r="AV536" i="496"/>
  <c r="AT536" i="496"/>
  <c r="I536" i="496"/>
  <c r="H536" i="496"/>
  <c r="E536" i="496"/>
  <c r="D536" i="496"/>
  <c r="C536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I530" i="496"/>
  <c r="H530" i="496"/>
  <c r="E530" i="496"/>
  <c r="D530" i="496"/>
  <c r="C530" i="496"/>
  <c r="AV529" i="496"/>
  <c r="AT529" i="496"/>
  <c r="I529" i="496"/>
  <c r="H529" i="496"/>
  <c r="E529" i="496"/>
  <c r="D529" i="496"/>
  <c r="C529" i="496"/>
  <c r="AV528" i="496"/>
  <c r="AT528" i="496"/>
  <c r="I528" i="496"/>
  <c r="H528" i="496"/>
  <c r="E528" i="496"/>
  <c r="D528" i="496"/>
  <c r="C528" i="496"/>
  <c r="AV527" i="496"/>
  <c r="AT527" i="496"/>
  <c r="I527" i="496"/>
  <c r="H527" i="496"/>
  <c r="E527" i="496"/>
  <c r="D527" i="496"/>
  <c r="C527" i="496"/>
  <c r="AV526" i="496"/>
  <c r="AT526" i="496"/>
  <c r="I526" i="496"/>
  <c r="H526" i="496"/>
  <c r="E526" i="496"/>
  <c r="D526" i="496"/>
  <c r="C526" i="496"/>
  <c r="AV525" i="496"/>
  <c r="AT525" i="496"/>
  <c r="I525" i="496"/>
  <c r="H525" i="496"/>
  <c r="E525" i="496"/>
  <c r="D525" i="496"/>
  <c r="C525" i="496"/>
  <c r="AV524" i="496"/>
  <c r="AT524" i="496"/>
  <c r="I524" i="496"/>
  <c r="H524" i="496"/>
  <c r="E524" i="496"/>
  <c r="D524" i="496"/>
  <c r="C524" i="496"/>
  <c r="AV523" i="496"/>
  <c r="AT523" i="496"/>
  <c r="I523" i="496"/>
  <c r="H523" i="496"/>
  <c r="E523" i="496"/>
  <c r="D523" i="496"/>
  <c r="C523" i="496"/>
  <c r="AV522" i="496"/>
  <c r="AT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I520" i="496"/>
  <c r="H520" i="496"/>
  <c r="E520" i="496"/>
  <c r="D520" i="496"/>
  <c r="C520" i="496"/>
  <c r="AV519" i="496"/>
  <c r="AT519" i="496"/>
  <c r="I519" i="496"/>
  <c r="H519" i="496"/>
  <c r="E519" i="496"/>
  <c r="D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E516" i="496"/>
  <c r="D516" i="496"/>
  <c r="C516" i="496"/>
  <c r="AV515" i="496"/>
  <c r="AT515" i="496"/>
  <c r="I515" i="496"/>
  <c r="H515" i="496"/>
  <c r="E515" i="496"/>
  <c r="D515" i="496"/>
  <c r="C515" i="496"/>
  <c r="AV514" i="496"/>
  <c r="AT514" i="496"/>
  <c r="I514" i="496"/>
  <c r="H514" i="496"/>
  <c r="E514" i="496"/>
  <c r="D514" i="496"/>
  <c r="C514" i="496"/>
  <c r="AV513" i="496"/>
  <c r="AT513" i="496"/>
  <c r="I513" i="496"/>
  <c r="H513" i="496"/>
  <c r="E513" i="496"/>
  <c r="D513" i="496"/>
  <c r="C513" i="496"/>
  <c r="AW512" i="496"/>
  <c r="AV512" i="496"/>
  <c r="AT512" i="496"/>
  <c r="H512" i="496"/>
  <c r="E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AR501" i="496"/>
  <c r="I501" i="496"/>
  <c r="H501" i="496"/>
  <c r="E501" i="496"/>
  <c r="D501" i="496"/>
  <c r="C501" i="496"/>
  <c r="AV500" i="496"/>
  <c r="AT500" i="496"/>
  <c r="AR500" i="496"/>
  <c r="I500" i="496"/>
  <c r="H500" i="496"/>
  <c r="E500" i="496"/>
  <c r="D500" i="496"/>
  <c r="C500" i="496"/>
  <c r="AV499" i="496"/>
  <c r="AT499" i="496"/>
  <c r="AR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V496" i="496"/>
  <c r="AT496" i="496"/>
  <c r="I496" i="496"/>
  <c r="H496" i="496"/>
  <c r="E496" i="496"/>
  <c r="D496" i="496"/>
  <c r="C496" i="496"/>
  <c r="AV495" i="496"/>
  <c r="AT495" i="496"/>
  <c r="I495" i="496"/>
  <c r="H495" i="496"/>
  <c r="E495" i="496"/>
  <c r="D495" i="496"/>
  <c r="C495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I489" i="496"/>
  <c r="H489" i="496"/>
  <c r="E489" i="496"/>
  <c r="D489" i="496"/>
  <c r="C489" i="496"/>
  <c r="AV488" i="496"/>
  <c r="AT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W480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AR473" i="496"/>
  <c r="I473" i="496"/>
  <c r="H473" i="496"/>
  <c r="E473" i="496"/>
  <c r="D473" i="496"/>
  <c r="C473" i="496"/>
  <c r="AV472" i="496"/>
  <c r="AT472" i="496"/>
  <c r="AR472" i="496"/>
  <c r="I472" i="496"/>
  <c r="H472" i="496"/>
  <c r="E472" i="496"/>
  <c r="D472" i="496"/>
  <c r="C472" i="496"/>
  <c r="AV471" i="496"/>
  <c r="AT471" i="496"/>
  <c r="AR471" i="496"/>
  <c r="I471" i="496"/>
  <c r="H471" i="496"/>
  <c r="E471" i="496"/>
  <c r="D471" i="496"/>
  <c r="C471" i="496"/>
  <c r="AV470" i="496"/>
  <c r="AT470" i="496"/>
  <c r="AR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V468" i="496"/>
  <c r="AT468" i="496"/>
  <c r="I468" i="496"/>
  <c r="H468" i="496"/>
  <c r="E468" i="496"/>
  <c r="D468" i="496"/>
  <c r="C468" i="496"/>
  <c r="AW467" i="496"/>
  <c r="AV467" i="496"/>
  <c r="AT467" i="496"/>
  <c r="I467" i="496"/>
  <c r="H467" i="496"/>
  <c r="E467" i="496"/>
  <c r="D467" i="496"/>
  <c r="C467" i="496"/>
  <c r="AW466" i="496"/>
  <c r="AV466" i="496"/>
  <c r="AT466" i="496"/>
  <c r="I466" i="496"/>
  <c r="H466" i="496"/>
  <c r="E466" i="496"/>
  <c r="D466" i="496"/>
  <c r="C466" i="496"/>
  <c r="AW465" i="496"/>
  <c r="AV465" i="496"/>
  <c r="AT465" i="496"/>
  <c r="I465" i="496"/>
  <c r="H465" i="496"/>
  <c r="E465" i="496"/>
  <c r="D465" i="496"/>
  <c r="C465" i="496"/>
  <c r="AW464" i="496"/>
  <c r="AV464" i="496"/>
  <c r="AT464" i="496"/>
  <c r="I464" i="496"/>
  <c r="H464" i="496"/>
  <c r="E464" i="496"/>
  <c r="D464" i="496"/>
  <c r="C464" i="496"/>
  <c r="AW463" i="496"/>
  <c r="AV463" i="496"/>
  <c r="AT463" i="496"/>
  <c r="I463" i="496"/>
  <c r="H463" i="496"/>
  <c r="E463" i="496"/>
  <c r="D463" i="496"/>
  <c r="C463" i="496"/>
  <c r="AV462" i="496"/>
  <c r="AT462" i="496"/>
  <c r="AR462" i="496"/>
  <c r="I462" i="496"/>
  <c r="H462" i="496"/>
  <c r="E462" i="496"/>
  <c r="D462" i="496"/>
  <c r="C462" i="496"/>
  <c r="AV461" i="496"/>
  <c r="AT461" i="496"/>
  <c r="AR461" i="496"/>
  <c r="I461" i="496"/>
  <c r="H461" i="496"/>
  <c r="E461" i="496"/>
  <c r="D461" i="496"/>
  <c r="C461" i="496"/>
  <c r="AV460" i="496"/>
  <c r="AT460" i="496"/>
  <c r="AR460" i="496"/>
  <c r="I460" i="496"/>
  <c r="H460" i="496"/>
  <c r="E460" i="496"/>
  <c r="D460" i="496"/>
  <c r="C460" i="496"/>
  <c r="AV459" i="496"/>
  <c r="AT459" i="496"/>
  <c r="AR459" i="496"/>
  <c r="I459" i="496"/>
  <c r="H459" i="496"/>
  <c r="E459" i="496"/>
  <c r="D459" i="496"/>
  <c r="C459" i="496"/>
  <c r="AV458" i="496"/>
  <c r="AT458" i="496"/>
  <c r="AR458" i="496"/>
  <c r="I458" i="496"/>
  <c r="H458" i="496"/>
  <c r="E458" i="496"/>
  <c r="D458" i="496"/>
  <c r="C458" i="496"/>
  <c r="AV457" i="496"/>
  <c r="AT457" i="496"/>
  <c r="AR457" i="496"/>
  <c r="I457" i="496"/>
  <c r="H457" i="496"/>
  <c r="E457" i="496"/>
  <c r="D457" i="496"/>
  <c r="C457" i="496"/>
  <c r="AV456" i="496"/>
  <c r="AT456" i="496"/>
  <c r="AR456" i="496"/>
  <c r="I456" i="496"/>
  <c r="H456" i="496"/>
  <c r="E456" i="496"/>
  <c r="D456" i="496"/>
  <c r="C456" i="496"/>
  <c r="AV455" i="496"/>
  <c r="AT455" i="496"/>
  <c r="AR455" i="496"/>
  <c r="I455" i="496"/>
  <c r="H455" i="496"/>
  <c r="E455" i="496"/>
  <c r="D455" i="496"/>
  <c r="C455" i="496"/>
  <c r="AV454" i="496"/>
  <c r="AT454" i="496"/>
  <c r="AR454" i="496"/>
  <c r="I454" i="496"/>
  <c r="H454" i="496"/>
  <c r="E454" i="496"/>
  <c r="D454" i="496"/>
  <c r="C454" i="496"/>
  <c r="AV453" i="496"/>
  <c r="AT453" i="496"/>
  <c r="AR453" i="496"/>
  <c r="I453" i="496"/>
  <c r="H453" i="496"/>
  <c r="E453" i="496"/>
  <c r="D453" i="496"/>
  <c r="C453" i="496"/>
  <c r="AV452" i="496"/>
  <c r="AT452" i="496"/>
  <c r="AR452" i="496"/>
  <c r="I452" i="496"/>
  <c r="H452" i="496"/>
  <c r="E452" i="496"/>
  <c r="D452" i="496"/>
  <c r="C452" i="496"/>
  <c r="AV451" i="496"/>
  <c r="AT451" i="496"/>
  <c r="AR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AR445" i="496"/>
  <c r="I445" i="496"/>
  <c r="H445" i="496"/>
  <c r="E445" i="496"/>
  <c r="D445" i="496"/>
  <c r="C445" i="496"/>
  <c r="AV444" i="496"/>
  <c r="AT444" i="496"/>
  <c r="AR444" i="496"/>
  <c r="I444" i="496"/>
  <c r="H444" i="496"/>
  <c r="E444" i="496"/>
  <c r="D444" i="496"/>
  <c r="C444" i="496"/>
  <c r="AV443" i="496"/>
  <c r="AT443" i="496"/>
  <c r="AR443" i="496"/>
  <c r="I443" i="496"/>
  <c r="H443" i="496"/>
  <c r="E443" i="496"/>
  <c r="D443" i="496"/>
  <c r="C443" i="496"/>
  <c r="AV442" i="496"/>
  <c r="AT442" i="496"/>
  <c r="AR442" i="496"/>
  <c r="I442" i="496"/>
  <c r="H442" i="496"/>
  <c r="E442" i="496"/>
  <c r="D442" i="496"/>
  <c r="C442" i="496"/>
  <c r="AV441" i="496"/>
  <c r="AT441" i="496"/>
  <c r="AR441" i="496"/>
  <c r="I441" i="496"/>
  <c r="H441" i="496"/>
  <c r="E441" i="496"/>
  <c r="D441" i="496"/>
  <c r="C441" i="496"/>
  <c r="AV440" i="496"/>
  <c r="AT440" i="496"/>
  <c r="AR440" i="496"/>
  <c r="I440" i="496"/>
  <c r="H440" i="496"/>
  <c r="E440" i="496"/>
  <c r="D440" i="496"/>
  <c r="C440" i="496"/>
  <c r="AV439" i="496"/>
  <c r="AU439" i="496"/>
  <c r="AT439" i="496"/>
  <c r="AR439" i="496"/>
  <c r="I439" i="496"/>
  <c r="H439" i="496"/>
  <c r="E439" i="496"/>
  <c r="D439" i="496"/>
  <c r="C439" i="496"/>
  <c r="AV438" i="496"/>
  <c r="AU438" i="496"/>
  <c r="AT438" i="496"/>
  <c r="AR438" i="496"/>
  <c r="I438" i="496"/>
  <c r="H438" i="496"/>
  <c r="E438" i="496"/>
  <c r="D438" i="496"/>
  <c r="C438" i="496"/>
  <c r="AV437" i="496"/>
  <c r="AU437" i="496"/>
  <c r="AT437" i="496"/>
  <c r="AR437" i="496"/>
  <c r="I437" i="496"/>
  <c r="H437" i="496"/>
  <c r="E437" i="496"/>
  <c r="D437" i="496"/>
  <c r="C437" i="496"/>
  <c r="AV436" i="496"/>
  <c r="AU436" i="496"/>
  <c r="AT436" i="496"/>
  <c r="AR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V434" i="496"/>
  <c r="AT434" i="496"/>
  <c r="I434" i="496"/>
  <c r="H434" i="496"/>
  <c r="E434" i="496"/>
  <c r="D434" i="496"/>
  <c r="C434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I422" i="496"/>
  <c r="H422" i="496"/>
  <c r="E422" i="496"/>
  <c r="D422" i="496"/>
  <c r="C422" i="496"/>
  <c r="AV421" i="496"/>
  <c r="AT421" i="496"/>
  <c r="AR421" i="496"/>
  <c r="I421" i="496"/>
  <c r="H421" i="496"/>
  <c r="E421" i="496"/>
  <c r="D421" i="496"/>
  <c r="C421" i="496"/>
  <c r="AV420" i="496"/>
  <c r="AT420" i="496"/>
  <c r="I420" i="496"/>
  <c r="H420" i="496"/>
  <c r="E420" i="496"/>
  <c r="D420" i="496"/>
  <c r="C420" i="496"/>
  <c r="AV419" i="496"/>
  <c r="AT419" i="496"/>
  <c r="I419" i="496"/>
  <c r="H419" i="496"/>
  <c r="E419" i="496"/>
  <c r="D419" i="496"/>
  <c r="C419" i="496"/>
  <c r="AV418" i="496"/>
  <c r="AT418" i="496"/>
  <c r="I418" i="496"/>
  <c r="H418" i="496"/>
  <c r="E418" i="496"/>
  <c r="D418" i="496"/>
  <c r="C418" i="496"/>
  <c r="AV417" i="496"/>
  <c r="AT417" i="496"/>
  <c r="I417" i="496"/>
  <c r="H417" i="496"/>
  <c r="E417" i="496"/>
  <c r="D417" i="496"/>
  <c r="C417" i="496"/>
  <c r="AV416" i="496"/>
  <c r="AT416" i="496"/>
  <c r="I416" i="496"/>
  <c r="H416" i="496"/>
  <c r="E416" i="496"/>
  <c r="D416" i="496"/>
  <c r="C416" i="496"/>
  <c r="AV415" i="496"/>
  <c r="AT415" i="496"/>
  <c r="I415" i="496"/>
  <c r="H415" i="496"/>
  <c r="E415" i="496"/>
  <c r="D415" i="496"/>
  <c r="C415" i="496"/>
  <c r="AV414" i="496"/>
  <c r="AT414" i="496"/>
  <c r="I414" i="496"/>
  <c r="H414" i="496"/>
  <c r="E414" i="496"/>
  <c r="D414" i="496"/>
  <c r="C414" i="496"/>
  <c r="AV413" i="496"/>
  <c r="AT413" i="496"/>
  <c r="I413" i="496"/>
  <c r="H413" i="496"/>
  <c r="E413" i="496"/>
  <c r="D413" i="496"/>
  <c r="C413" i="496"/>
  <c r="AV412" i="496"/>
  <c r="AT412" i="496"/>
  <c r="I412" i="496"/>
  <c r="H412" i="496"/>
  <c r="E412" i="496"/>
  <c r="D412" i="496"/>
  <c r="C412" i="496"/>
  <c r="AV411" i="496"/>
  <c r="AT411" i="496"/>
  <c r="I411" i="496"/>
  <c r="H411" i="496"/>
  <c r="E411" i="496"/>
  <c r="D411" i="496"/>
  <c r="C411" i="496"/>
  <c r="AV410" i="496"/>
  <c r="AT410" i="496"/>
  <c r="I410" i="496"/>
  <c r="H410" i="496"/>
  <c r="E410" i="496"/>
  <c r="D410" i="496"/>
  <c r="C410" i="496"/>
  <c r="AV409" i="496"/>
  <c r="AT409" i="496"/>
  <c r="I409" i="496"/>
  <c r="H409" i="496"/>
  <c r="E409" i="496"/>
  <c r="D409" i="496"/>
  <c r="C409" i="496"/>
  <c r="AV408" i="496"/>
  <c r="AT408" i="496"/>
  <c r="I408" i="496"/>
  <c r="H408" i="496"/>
  <c r="E408" i="496"/>
  <c r="D408" i="496"/>
  <c r="C408" i="496"/>
  <c r="AV407" i="496"/>
  <c r="AT407" i="496"/>
  <c r="I407" i="496"/>
  <c r="H407" i="496"/>
  <c r="E407" i="496"/>
  <c r="D407" i="496"/>
  <c r="C407" i="496"/>
  <c r="AV406" i="496"/>
  <c r="AT406" i="496"/>
  <c r="I406" i="496"/>
  <c r="H406" i="496"/>
  <c r="E406" i="496"/>
  <c r="D406" i="496"/>
  <c r="C406" i="496"/>
  <c r="AV405" i="496"/>
  <c r="AT405" i="496"/>
  <c r="I405" i="496"/>
  <c r="H405" i="496"/>
  <c r="E405" i="496"/>
  <c r="D405" i="496"/>
  <c r="C405" i="496"/>
  <c r="AV404" i="496"/>
  <c r="AT404" i="496"/>
  <c r="I404" i="496"/>
  <c r="H404" i="496"/>
  <c r="E404" i="496"/>
  <c r="D404" i="496"/>
  <c r="C404" i="496"/>
  <c r="AV403" i="496"/>
  <c r="AT403" i="496"/>
  <c r="I403" i="496"/>
  <c r="H403" i="496"/>
  <c r="E403" i="496"/>
  <c r="D403" i="496"/>
  <c r="C403" i="496"/>
  <c r="AV402" i="496"/>
  <c r="AT402" i="496"/>
  <c r="I402" i="496"/>
  <c r="H402" i="496"/>
  <c r="E402" i="496"/>
  <c r="D402" i="496"/>
  <c r="C402" i="496"/>
  <c r="AV401" i="496"/>
  <c r="AT401" i="496"/>
  <c r="I401" i="496"/>
  <c r="H401" i="496"/>
  <c r="E401" i="496"/>
  <c r="D401" i="496"/>
  <c r="C401" i="496"/>
  <c r="AV400" i="496"/>
  <c r="AT400" i="496"/>
  <c r="I400" i="496"/>
  <c r="H400" i="496"/>
  <c r="E400" i="496"/>
  <c r="D400" i="496"/>
  <c r="C400" i="496"/>
  <c r="AV399" i="496"/>
  <c r="AT399" i="496"/>
  <c r="I399" i="496"/>
  <c r="H399" i="496"/>
  <c r="E399" i="496"/>
  <c r="D399" i="496"/>
  <c r="C399" i="496"/>
  <c r="AV398" i="496"/>
  <c r="AT398" i="496"/>
  <c r="I398" i="496"/>
  <c r="H398" i="496"/>
  <c r="E398" i="496"/>
  <c r="D398" i="496"/>
  <c r="C398" i="496"/>
  <c r="AV397" i="496"/>
  <c r="AT397" i="496"/>
  <c r="I397" i="496"/>
  <c r="H397" i="496"/>
  <c r="E397" i="496"/>
  <c r="D397" i="496"/>
  <c r="C397" i="496"/>
  <c r="AV396" i="496"/>
  <c r="AT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I394" i="496"/>
  <c r="H394" i="496"/>
  <c r="E394" i="496"/>
  <c r="D394" i="496"/>
  <c r="C394" i="496"/>
  <c r="AV393" i="496"/>
  <c r="AT393" i="496"/>
  <c r="I393" i="496"/>
  <c r="H393" i="496"/>
  <c r="E393" i="496"/>
  <c r="D393" i="496"/>
  <c r="C393" i="496"/>
  <c r="AV392" i="496"/>
  <c r="AT392" i="496"/>
  <c r="I392" i="496"/>
  <c r="H392" i="496"/>
  <c r="E392" i="496"/>
  <c r="D392" i="496"/>
  <c r="C392" i="496"/>
  <c r="AV391" i="496"/>
  <c r="AT391" i="496"/>
  <c r="I391" i="496"/>
  <c r="H391" i="496"/>
  <c r="E391" i="496"/>
  <c r="D391" i="496"/>
  <c r="C391" i="496"/>
  <c r="AV390" i="496"/>
  <c r="AT390" i="496"/>
  <c r="I390" i="496"/>
  <c r="H390" i="496"/>
  <c r="E390" i="496"/>
  <c r="D390" i="496"/>
  <c r="C390" i="496"/>
  <c r="AV389" i="496"/>
  <c r="AT389" i="496"/>
  <c r="I389" i="496"/>
  <c r="H389" i="496"/>
  <c r="E389" i="496"/>
  <c r="D389" i="496"/>
  <c r="C389" i="496"/>
  <c r="AV388" i="496"/>
  <c r="AT388" i="496"/>
  <c r="I388" i="496"/>
  <c r="H388" i="496"/>
  <c r="E388" i="496"/>
  <c r="D388" i="496"/>
  <c r="C388" i="496"/>
  <c r="AV387" i="496"/>
  <c r="AT387" i="496"/>
  <c r="I387" i="496"/>
  <c r="H387" i="496"/>
  <c r="E387" i="496"/>
  <c r="D387" i="496"/>
  <c r="C387" i="496"/>
  <c r="AV386" i="496"/>
  <c r="AT386" i="496"/>
  <c r="I386" i="496"/>
  <c r="H386" i="496"/>
  <c r="E386" i="496"/>
  <c r="D386" i="496"/>
  <c r="C386" i="496"/>
  <c r="AV385" i="496"/>
  <c r="AT385" i="496"/>
  <c r="I385" i="496"/>
  <c r="H385" i="496"/>
  <c r="E385" i="496"/>
  <c r="D385" i="496"/>
  <c r="C385" i="496"/>
  <c r="AV384" i="496"/>
  <c r="AT384" i="496"/>
  <c r="I384" i="496"/>
  <c r="H384" i="496"/>
  <c r="E384" i="496"/>
  <c r="D384" i="496"/>
  <c r="C384" i="496"/>
  <c r="AV382" i="496"/>
  <c r="AT382" i="496"/>
  <c r="I382" i="496"/>
  <c r="H382" i="496"/>
  <c r="E382" i="496"/>
  <c r="D382" i="496"/>
  <c r="C382" i="496"/>
  <c r="AV381" i="496"/>
  <c r="AT381" i="496"/>
  <c r="I381" i="496"/>
  <c r="H381" i="496"/>
  <c r="E381" i="496"/>
  <c r="D381" i="496"/>
  <c r="C381" i="496"/>
  <c r="AV380" i="496"/>
  <c r="AT380" i="496"/>
  <c r="I380" i="496"/>
  <c r="H380" i="496"/>
  <c r="E380" i="496"/>
  <c r="D380" i="496"/>
  <c r="C380" i="496"/>
  <c r="AV379" i="496"/>
  <c r="AT379" i="496"/>
  <c r="I379" i="496"/>
  <c r="H379" i="496"/>
  <c r="E379" i="496"/>
  <c r="D379" i="496"/>
  <c r="C379" i="496"/>
  <c r="AV378" i="496"/>
  <c r="AT378" i="496"/>
  <c r="I378" i="496"/>
  <c r="H378" i="496"/>
  <c r="E378" i="496"/>
  <c r="D378" i="496"/>
  <c r="C378" i="496"/>
  <c r="AW377" i="496"/>
  <c r="AV377" i="496"/>
  <c r="AT377" i="496"/>
  <c r="I377" i="496"/>
  <c r="H377" i="496"/>
  <c r="E377" i="496"/>
  <c r="D377" i="496"/>
  <c r="C377" i="496"/>
  <c r="AV376" i="496"/>
  <c r="AT376" i="496"/>
  <c r="AR376" i="496"/>
  <c r="I376" i="496"/>
  <c r="H376" i="496"/>
  <c r="E376" i="496"/>
  <c r="D376" i="496"/>
  <c r="C376" i="496"/>
  <c r="AV375" i="496"/>
  <c r="AT375" i="496"/>
  <c r="AR375" i="496"/>
  <c r="I375" i="496"/>
  <c r="H375" i="496"/>
  <c r="E375" i="496"/>
  <c r="D375" i="496"/>
  <c r="C375" i="496"/>
  <c r="AV374" i="496"/>
  <c r="AT374" i="496"/>
  <c r="AR374" i="496"/>
  <c r="I374" i="496"/>
  <c r="H374" i="496"/>
  <c r="E374" i="496"/>
  <c r="D374" i="496"/>
  <c r="C374" i="496"/>
  <c r="AV373" i="496"/>
  <c r="AT373" i="496"/>
  <c r="AR373" i="496"/>
  <c r="I373" i="496"/>
  <c r="H373" i="496"/>
  <c r="E373" i="496"/>
  <c r="D373" i="496"/>
  <c r="C373" i="496"/>
  <c r="AV372" i="496"/>
  <c r="AT372" i="496"/>
  <c r="I372" i="496"/>
  <c r="H372" i="496"/>
  <c r="E372" i="496"/>
  <c r="D372" i="496"/>
  <c r="C372" i="496"/>
  <c r="AV371" i="496"/>
  <c r="AT371" i="496"/>
  <c r="I371" i="496"/>
  <c r="H371" i="496"/>
  <c r="E371" i="496"/>
  <c r="D371" i="496"/>
  <c r="C371" i="496"/>
  <c r="AW370" i="496"/>
  <c r="AV370" i="496"/>
  <c r="AT370" i="496"/>
  <c r="I370" i="496"/>
  <c r="H370" i="496"/>
  <c r="E370" i="496"/>
  <c r="D370" i="496"/>
  <c r="C370" i="496"/>
  <c r="AV369" i="496"/>
  <c r="AT369" i="496"/>
  <c r="I369" i="496"/>
  <c r="H369" i="496"/>
  <c r="E369" i="496"/>
  <c r="D369" i="496"/>
  <c r="C369" i="496"/>
  <c r="AV368" i="496"/>
  <c r="AT368" i="496"/>
  <c r="I368" i="496"/>
  <c r="H368" i="496"/>
  <c r="E368" i="496"/>
  <c r="D368" i="496"/>
  <c r="C368" i="496"/>
  <c r="AV367" i="496"/>
  <c r="AT367" i="496"/>
  <c r="I367" i="496"/>
  <c r="H367" i="496"/>
  <c r="E367" i="496"/>
  <c r="D367" i="496"/>
  <c r="C367" i="496"/>
  <c r="AW366" i="496"/>
  <c r="AV366" i="496"/>
  <c r="AT366" i="496"/>
  <c r="I366" i="496"/>
  <c r="H366" i="496"/>
  <c r="E366" i="496"/>
  <c r="D366" i="496"/>
  <c r="C366" i="496"/>
  <c r="AW365" i="496"/>
  <c r="AV365" i="496"/>
  <c r="AT365" i="496"/>
  <c r="I365" i="496"/>
  <c r="H365" i="496"/>
  <c r="E365" i="496"/>
  <c r="D365" i="496"/>
  <c r="C365" i="496"/>
  <c r="AV364" i="496"/>
  <c r="AT364" i="496"/>
  <c r="I364" i="496"/>
  <c r="H364" i="496"/>
  <c r="E364" i="496"/>
  <c r="D364" i="496"/>
  <c r="C364" i="496"/>
  <c r="AW363" i="496"/>
  <c r="AV363" i="496"/>
  <c r="AT363" i="496"/>
  <c r="I363" i="496"/>
  <c r="H363" i="496"/>
  <c r="E363" i="496"/>
  <c r="D363" i="496"/>
  <c r="C363" i="496"/>
  <c r="AV362" i="496"/>
  <c r="AT362" i="496"/>
  <c r="I362" i="496"/>
  <c r="H362" i="496"/>
  <c r="E362" i="496"/>
  <c r="D362" i="496"/>
  <c r="C362" i="496"/>
  <c r="AV361" i="496"/>
  <c r="AT361" i="496"/>
  <c r="I361" i="496"/>
  <c r="H361" i="496"/>
  <c r="E361" i="496"/>
  <c r="D361" i="496"/>
  <c r="C361" i="496"/>
  <c r="AV360" i="496"/>
  <c r="AT360" i="496"/>
  <c r="I360" i="496"/>
  <c r="H360" i="496"/>
  <c r="E360" i="496"/>
  <c r="D360" i="496"/>
  <c r="C360" i="496"/>
  <c r="AV359" i="496"/>
  <c r="AT359" i="496"/>
  <c r="I359" i="496"/>
  <c r="H359" i="496"/>
  <c r="E359" i="496"/>
  <c r="D359" i="496"/>
  <c r="C359" i="496"/>
  <c r="AV358" i="496"/>
  <c r="AT358" i="496"/>
  <c r="I358" i="496"/>
  <c r="H358" i="496"/>
  <c r="E358" i="496"/>
  <c r="D358" i="496"/>
  <c r="C358" i="496"/>
  <c r="AV357" i="496"/>
  <c r="AT357" i="496"/>
  <c r="I357" i="496"/>
  <c r="H357" i="496"/>
  <c r="E357" i="496"/>
  <c r="D357" i="496"/>
  <c r="C357" i="496"/>
  <c r="AV356" i="496"/>
  <c r="AT356" i="496"/>
  <c r="I356" i="496"/>
  <c r="H356" i="496"/>
  <c r="E356" i="496"/>
  <c r="D356" i="496"/>
  <c r="C356" i="496"/>
  <c r="AV355" i="496"/>
  <c r="AT355" i="496"/>
  <c r="I355" i="496"/>
  <c r="H355" i="496"/>
  <c r="E355" i="496"/>
  <c r="D355" i="496"/>
  <c r="C355" i="496"/>
  <c r="AV354" i="496"/>
  <c r="AT354" i="496"/>
  <c r="I354" i="496"/>
  <c r="H354" i="496"/>
  <c r="E354" i="496"/>
  <c r="D354" i="496"/>
  <c r="C354" i="496"/>
  <c r="AV353" i="496"/>
  <c r="AT353" i="496"/>
  <c r="I353" i="496"/>
  <c r="H353" i="496"/>
  <c r="E353" i="496"/>
  <c r="D353" i="496"/>
  <c r="C353" i="496"/>
  <c r="AV352" i="496"/>
  <c r="AT352" i="496"/>
  <c r="I352" i="496"/>
  <c r="H352" i="496"/>
  <c r="E352" i="496"/>
  <c r="D352" i="496"/>
  <c r="C352" i="496"/>
  <c r="AV351" i="496"/>
  <c r="AT351" i="496"/>
  <c r="I351" i="496"/>
  <c r="H351" i="496"/>
  <c r="E351" i="496"/>
  <c r="D351" i="496"/>
  <c r="C351" i="496"/>
  <c r="AV350" i="496"/>
  <c r="AT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I347" i="496"/>
  <c r="H347" i="496"/>
  <c r="E347" i="496"/>
  <c r="D347" i="496"/>
  <c r="C347" i="496"/>
  <c r="AV346" i="496"/>
  <c r="AT346" i="496"/>
  <c r="I346" i="496"/>
  <c r="H346" i="496"/>
  <c r="E346" i="496"/>
  <c r="D346" i="496"/>
  <c r="C346" i="496"/>
  <c r="AV345" i="496"/>
  <c r="AT345" i="496"/>
  <c r="I345" i="496"/>
  <c r="H345" i="496"/>
  <c r="E345" i="496"/>
  <c r="D345" i="496"/>
  <c r="C345" i="496"/>
  <c r="AW344" i="496"/>
  <c r="AV344" i="496"/>
  <c r="AT344" i="496"/>
  <c r="H344" i="496"/>
  <c r="E344" i="496"/>
  <c r="C344" i="496"/>
  <c r="AV343" i="496"/>
  <c r="AT343" i="496"/>
  <c r="I343" i="496"/>
  <c r="H343" i="496"/>
  <c r="E343" i="496"/>
  <c r="D343" i="496"/>
  <c r="C343" i="496"/>
  <c r="AV342" i="496"/>
  <c r="AT342" i="496"/>
  <c r="I342" i="496"/>
  <c r="H342" i="496"/>
  <c r="E342" i="496"/>
  <c r="D342" i="496"/>
  <c r="C342" i="496"/>
  <c r="AW328" i="496"/>
  <c r="AV328" i="496"/>
  <c r="AT328" i="496"/>
  <c r="I328" i="496"/>
  <c r="H328" i="496"/>
  <c r="E328" i="496"/>
  <c r="D328" i="496"/>
  <c r="C328" i="496"/>
  <c r="AW327" i="496"/>
  <c r="AV327" i="496"/>
  <c r="AT327" i="496"/>
  <c r="I327" i="496"/>
  <c r="H327" i="496"/>
  <c r="E327" i="496"/>
  <c r="D327" i="496"/>
  <c r="C327" i="496"/>
  <c r="AW317" i="496"/>
  <c r="AV317" i="496"/>
  <c r="AT317" i="496"/>
  <c r="I317" i="496"/>
  <c r="H317" i="496"/>
  <c r="E317" i="496"/>
  <c r="D317" i="496"/>
  <c r="C317" i="496"/>
  <c r="AW316" i="496"/>
  <c r="AV316" i="496"/>
  <c r="AT316" i="496"/>
  <c r="I316" i="496"/>
  <c r="H316" i="496"/>
  <c r="E316" i="496"/>
  <c r="D316" i="496"/>
  <c r="C316" i="496"/>
  <c r="AW311" i="496"/>
  <c r="AV311" i="496"/>
  <c r="AT311" i="496"/>
  <c r="I311" i="496"/>
  <c r="H311" i="496"/>
  <c r="E311" i="496"/>
  <c r="D311" i="496"/>
  <c r="C311" i="496"/>
  <c r="AW310" i="496"/>
  <c r="AV310" i="496"/>
  <c r="AT310" i="496"/>
  <c r="I310" i="496"/>
  <c r="H310" i="496"/>
  <c r="E310" i="496"/>
  <c r="D310" i="496"/>
  <c r="C310" i="496"/>
  <c r="AV309" i="496"/>
  <c r="AT309" i="496"/>
  <c r="I309" i="496"/>
  <c r="H309" i="496"/>
  <c r="E309" i="496"/>
  <c r="D309" i="496"/>
  <c r="C309" i="496"/>
  <c r="AV308" i="496"/>
  <c r="AT308" i="496"/>
  <c r="I308" i="496"/>
  <c r="H308" i="496"/>
  <c r="E308" i="496"/>
  <c r="D308" i="496"/>
  <c r="C308" i="496"/>
  <c r="AV301" i="496"/>
  <c r="AT301" i="496"/>
  <c r="I301" i="496"/>
  <c r="H301" i="496"/>
  <c r="F301" i="496"/>
  <c r="E301" i="496"/>
  <c r="D301" i="496"/>
  <c r="C301" i="496"/>
  <c r="AV296" i="496"/>
  <c r="AT296" i="496"/>
  <c r="AR296" i="496"/>
  <c r="I296" i="496"/>
  <c r="H296" i="496"/>
  <c r="E296" i="496"/>
  <c r="D296" i="496"/>
  <c r="C296" i="496"/>
  <c r="AV295" i="496"/>
  <c r="AT295" i="496"/>
  <c r="AR295" i="496"/>
  <c r="I295" i="496"/>
  <c r="H295" i="496"/>
  <c r="E295" i="496"/>
  <c r="D295" i="496"/>
  <c r="C295" i="496"/>
  <c r="AV294" i="496"/>
  <c r="AT294" i="496"/>
  <c r="AR294" i="496"/>
  <c r="I294" i="496"/>
  <c r="H294" i="496"/>
  <c r="E294" i="496"/>
  <c r="D294" i="496"/>
  <c r="C294" i="496"/>
  <c r="AV293" i="496"/>
  <c r="AT293" i="496"/>
  <c r="AR293" i="496"/>
  <c r="I293" i="496"/>
  <c r="H293" i="496"/>
  <c r="E293" i="496"/>
  <c r="D293" i="496"/>
  <c r="C293" i="496"/>
  <c r="AV292" i="496"/>
  <c r="AT292" i="496"/>
  <c r="AR292" i="496"/>
  <c r="I292" i="496"/>
  <c r="H292" i="496"/>
  <c r="E292" i="496"/>
  <c r="D292" i="496"/>
  <c r="C292" i="496"/>
  <c r="AV291" i="496"/>
  <c r="AT291" i="496"/>
  <c r="AR291" i="496"/>
  <c r="I291" i="496"/>
  <c r="H291" i="496"/>
  <c r="E291" i="496"/>
  <c r="D291" i="496"/>
  <c r="C291" i="496"/>
  <c r="AV290" i="496"/>
  <c r="AT290" i="496"/>
  <c r="AR290" i="496"/>
  <c r="I290" i="496"/>
  <c r="H290" i="496"/>
  <c r="E290" i="496"/>
  <c r="D290" i="496"/>
  <c r="C290" i="496"/>
  <c r="AV289" i="496"/>
  <c r="AT289" i="496"/>
  <c r="AR289" i="496"/>
  <c r="I289" i="496"/>
  <c r="H289" i="496"/>
  <c r="E289" i="496"/>
  <c r="D289" i="496"/>
  <c r="C289" i="496"/>
  <c r="AV286" i="496"/>
  <c r="AT286" i="496"/>
  <c r="I286" i="496"/>
  <c r="H286" i="496"/>
  <c r="E286" i="496"/>
  <c r="D286" i="496"/>
  <c r="C286" i="496"/>
  <c r="AV285" i="496"/>
  <c r="AT285" i="496"/>
  <c r="AR285" i="496"/>
  <c r="I285" i="496"/>
  <c r="H285" i="496"/>
  <c r="E285" i="496"/>
  <c r="D285" i="496"/>
  <c r="C285" i="496"/>
  <c r="AV284" i="496"/>
  <c r="AT284" i="496"/>
  <c r="AR284" i="496"/>
  <c r="I284" i="496"/>
  <c r="H284" i="496"/>
  <c r="E284" i="496"/>
  <c r="D284" i="496"/>
  <c r="C284" i="496"/>
  <c r="AV283" i="496"/>
  <c r="AU283" i="496"/>
  <c r="AT283" i="496"/>
  <c r="AR283" i="496"/>
  <c r="I283" i="496"/>
  <c r="H283" i="496"/>
  <c r="E283" i="496"/>
  <c r="D283" i="496"/>
  <c r="C283" i="496"/>
  <c r="AV282" i="496"/>
  <c r="AT282" i="496"/>
  <c r="I282" i="496"/>
  <c r="H282" i="496"/>
  <c r="E282" i="496"/>
  <c r="D282" i="496"/>
  <c r="C282" i="496"/>
  <c r="AV281" i="496"/>
  <c r="AT281" i="496"/>
  <c r="I281" i="496"/>
  <c r="H281" i="496"/>
  <c r="E281" i="496"/>
  <c r="D281" i="496"/>
  <c r="C281" i="496"/>
  <c r="AV280" i="496"/>
  <c r="AT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I278" i="496"/>
  <c r="H278" i="496"/>
  <c r="E278" i="496"/>
  <c r="D278" i="496"/>
  <c r="C278" i="496"/>
  <c r="AV277" i="496"/>
  <c r="AT277" i="496"/>
  <c r="I277" i="496"/>
  <c r="H277" i="496"/>
  <c r="E277" i="496"/>
  <c r="D277" i="496"/>
  <c r="C277" i="496"/>
  <c r="AV276" i="496"/>
  <c r="AT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I273" i="496"/>
  <c r="H273" i="496"/>
  <c r="E273" i="496"/>
  <c r="D273" i="496"/>
  <c r="C273" i="496"/>
  <c r="AV272" i="496"/>
  <c r="AT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I270" i="496"/>
  <c r="H270" i="496"/>
  <c r="E270" i="496"/>
  <c r="D270" i="496"/>
  <c r="C270" i="496"/>
  <c r="AV269" i="496"/>
  <c r="AT269" i="496"/>
  <c r="I269" i="496"/>
  <c r="H269" i="496"/>
  <c r="E269" i="496"/>
  <c r="D269" i="496"/>
  <c r="C269" i="496"/>
  <c r="AV268" i="496"/>
  <c r="AT268" i="496"/>
  <c r="I268" i="496"/>
  <c r="H268" i="496"/>
  <c r="E268" i="496"/>
  <c r="D268" i="496"/>
  <c r="C268" i="496"/>
  <c r="AV267" i="496"/>
  <c r="AT267" i="496"/>
  <c r="I267" i="496"/>
  <c r="H267" i="496"/>
  <c r="E267" i="496"/>
  <c r="D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I264" i="496"/>
  <c r="H264" i="496"/>
  <c r="E264" i="496"/>
  <c r="D264" i="496"/>
  <c r="C264" i="496"/>
  <c r="AV263" i="496"/>
  <c r="AT263" i="496"/>
  <c r="I263" i="496"/>
  <c r="H263" i="496"/>
  <c r="E263" i="496"/>
  <c r="D263" i="496"/>
  <c r="C263" i="496"/>
  <c r="AV262" i="496"/>
  <c r="AT262" i="496"/>
  <c r="I262" i="496"/>
  <c r="H262" i="496"/>
  <c r="E262" i="496"/>
  <c r="D262" i="496"/>
  <c r="C262" i="496"/>
  <c r="AV261" i="496"/>
  <c r="AT261" i="496"/>
  <c r="I261" i="496"/>
  <c r="H261" i="496"/>
  <c r="E261" i="496"/>
  <c r="D261" i="496"/>
  <c r="C261" i="496"/>
  <c r="AV260" i="496"/>
  <c r="AT260" i="496"/>
  <c r="I260" i="496"/>
  <c r="H260" i="496"/>
  <c r="E260" i="496"/>
  <c r="D260" i="496"/>
  <c r="C260" i="496"/>
  <c r="AV259" i="496"/>
  <c r="AT259" i="496"/>
  <c r="I259" i="496"/>
  <c r="H259" i="496"/>
  <c r="E259" i="496"/>
  <c r="D259" i="496"/>
  <c r="C259" i="496"/>
  <c r="AV258" i="496"/>
  <c r="AT258" i="496"/>
  <c r="I258" i="496"/>
  <c r="H258" i="496"/>
  <c r="E258" i="496"/>
  <c r="D258" i="496"/>
  <c r="C258" i="496"/>
  <c r="AV257" i="496"/>
  <c r="AT257" i="496"/>
  <c r="I257" i="496"/>
  <c r="H257" i="496"/>
  <c r="E257" i="496"/>
  <c r="D257" i="496"/>
  <c r="C257" i="496"/>
  <c r="AV256" i="496"/>
  <c r="AT256" i="496"/>
  <c r="I256" i="496"/>
  <c r="H256" i="496"/>
  <c r="E256" i="496"/>
  <c r="D256" i="496"/>
  <c r="C256" i="496"/>
  <c r="AV255" i="496"/>
  <c r="AT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I252" i="496"/>
  <c r="H252" i="496"/>
  <c r="E252" i="496"/>
  <c r="D252" i="496"/>
  <c r="C252" i="496"/>
  <c r="AV251" i="496"/>
  <c r="AT251" i="496"/>
  <c r="I251" i="496"/>
  <c r="H251" i="496"/>
  <c r="E251" i="496"/>
  <c r="D251" i="496"/>
  <c r="C251" i="496"/>
  <c r="AV250" i="496"/>
  <c r="AT250" i="496"/>
  <c r="I250" i="496"/>
  <c r="H250" i="496"/>
  <c r="E250" i="496"/>
  <c r="D250" i="496"/>
  <c r="C250" i="496"/>
  <c r="AV247" i="496"/>
  <c r="AT247" i="496"/>
  <c r="I247" i="496"/>
  <c r="H247" i="496"/>
  <c r="E247" i="496"/>
  <c r="D247" i="496"/>
  <c r="C247" i="496"/>
  <c r="AV245" i="496"/>
  <c r="AT245" i="496"/>
  <c r="I245" i="496"/>
  <c r="H245" i="496"/>
  <c r="E245" i="496"/>
  <c r="D245" i="496"/>
  <c r="C245" i="496"/>
  <c r="AV236" i="496"/>
  <c r="AT236" i="496"/>
  <c r="I236" i="496"/>
  <c r="H236" i="496"/>
  <c r="E236" i="496"/>
  <c r="D236" i="496"/>
  <c r="C236" i="496"/>
  <c r="AW232" i="496"/>
  <c r="AV232" i="496"/>
  <c r="AT232" i="496"/>
  <c r="I232" i="496"/>
  <c r="H232" i="496"/>
  <c r="E232" i="496"/>
  <c r="D232" i="496"/>
  <c r="C232" i="496"/>
  <c r="AV231" i="496"/>
  <c r="AT231" i="496"/>
  <c r="I231" i="496"/>
  <c r="H231" i="496"/>
  <c r="E231" i="496"/>
  <c r="D231" i="496"/>
  <c r="C231" i="496"/>
  <c r="AV230" i="496"/>
  <c r="AT230" i="496"/>
  <c r="I230" i="496"/>
  <c r="H230" i="496"/>
  <c r="E230" i="496"/>
  <c r="D230" i="496"/>
  <c r="C230" i="496"/>
  <c r="AV229" i="496"/>
  <c r="AT229" i="496"/>
  <c r="I229" i="496"/>
  <c r="H229" i="496"/>
  <c r="E229" i="496"/>
  <c r="D229" i="496"/>
  <c r="C229" i="496"/>
  <c r="AV228" i="496"/>
  <c r="AT228" i="496"/>
  <c r="I228" i="496"/>
  <c r="H228" i="496"/>
  <c r="E228" i="496"/>
  <c r="D228" i="496"/>
  <c r="C228" i="496"/>
  <c r="AV227" i="496"/>
  <c r="AT227" i="496"/>
  <c r="I227" i="496"/>
  <c r="H227" i="496"/>
  <c r="E227" i="496"/>
  <c r="D227" i="496"/>
  <c r="C227" i="496"/>
  <c r="AV226" i="496"/>
  <c r="AT226" i="496"/>
  <c r="I226" i="496"/>
  <c r="H226" i="496"/>
  <c r="E226" i="496"/>
  <c r="D226" i="496"/>
  <c r="C226" i="496"/>
  <c r="AV225" i="496"/>
  <c r="AT225" i="496"/>
  <c r="I225" i="496"/>
  <c r="H225" i="496"/>
  <c r="E225" i="496"/>
  <c r="D225" i="496"/>
  <c r="C225" i="496"/>
  <c r="AV224" i="496"/>
  <c r="AT224" i="496"/>
  <c r="AR224" i="496"/>
  <c r="I224" i="496"/>
  <c r="H224" i="496"/>
  <c r="E224" i="496"/>
  <c r="D224" i="496"/>
  <c r="C224" i="496"/>
  <c r="AV221" i="496"/>
  <c r="AT221" i="496"/>
  <c r="I221" i="496"/>
  <c r="H221" i="496"/>
  <c r="E221" i="496"/>
  <c r="D221" i="496"/>
  <c r="C221" i="496"/>
  <c r="AV220" i="496"/>
  <c r="AT220" i="496"/>
  <c r="I220" i="496"/>
  <c r="H220" i="496"/>
  <c r="E220" i="496"/>
  <c r="D220" i="496"/>
  <c r="C220" i="496"/>
  <c r="AV217" i="496"/>
  <c r="AT217" i="496"/>
  <c r="I217" i="496"/>
  <c r="H217" i="496"/>
  <c r="E217" i="496"/>
  <c r="D217" i="496"/>
  <c r="C217" i="496"/>
  <c r="AV216" i="496"/>
  <c r="AT216" i="496"/>
  <c r="I216" i="496"/>
  <c r="H216" i="496"/>
  <c r="E216" i="496"/>
  <c r="D216" i="496"/>
  <c r="C216" i="496"/>
  <c r="AW215" i="496"/>
  <c r="AV215" i="496"/>
  <c r="AT215" i="496"/>
  <c r="I215" i="496"/>
  <c r="H215" i="496"/>
  <c r="E215" i="496"/>
  <c r="D215" i="496"/>
  <c r="C215" i="496"/>
  <c r="AV211" i="496"/>
  <c r="AT211" i="496"/>
  <c r="I211" i="496"/>
  <c r="H211" i="496"/>
  <c r="E211" i="496"/>
  <c r="D211" i="496"/>
  <c r="C211" i="496"/>
  <c r="AV207" i="496"/>
  <c r="AT207" i="496"/>
  <c r="H207" i="496"/>
  <c r="E207" i="496"/>
  <c r="C207" i="496"/>
  <c r="AV204" i="496"/>
  <c r="AT204" i="496"/>
  <c r="I204" i="496"/>
  <c r="H204" i="496"/>
  <c r="E204" i="496"/>
  <c r="D204" i="496"/>
  <c r="C204" i="496"/>
  <c r="AV190" i="496"/>
  <c r="AT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I188" i="496"/>
  <c r="H188" i="496"/>
  <c r="E188" i="496"/>
  <c r="D188" i="496"/>
  <c r="C188" i="496"/>
  <c r="AV187" i="496"/>
  <c r="AT187" i="496"/>
  <c r="I187" i="496"/>
  <c r="H187" i="496"/>
  <c r="E187" i="496"/>
  <c r="D187" i="496"/>
  <c r="C187" i="496"/>
  <c r="AV186" i="496"/>
  <c r="AT186" i="496"/>
  <c r="I186" i="496"/>
  <c r="H186" i="496"/>
  <c r="E186" i="496"/>
  <c r="D186" i="496"/>
  <c r="C186" i="496"/>
  <c r="AV185" i="496"/>
  <c r="AT185" i="496"/>
  <c r="I185" i="496"/>
  <c r="H185" i="496"/>
  <c r="E185" i="496"/>
  <c r="D185" i="496"/>
  <c r="C185" i="496"/>
  <c r="AW183" i="496"/>
  <c r="AV183" i="496"/>
  <c r="AT183" i="496"/>
  <c r="I183" i="496"/>
  <c r="H183" i="496"/>
  <c r="E183" i="496"/>
  <c r="D183" i="496"/>
  <c r="C183" i="496"/>
  <c r="AW181" i="496"/>
  <c r="AV181" i="496"/>
  <c r="AT181" i="496"/>
  <c r="I181" i="496"/>
  <c r="H181" i="496"/>
  <c r="E181" i="496"/>
  <c r="D181" i="496"/>
  <c r="C181" i="496"/>
  <c r="AW180" i="496"/>
  <c r="AV180" i="496"/>
  <c r="AT180" i="496"/>
  <c r="I180" i="496"/>
  <c r="H180" i="496"/>
  <c r="E180" i="496"/>
  <c r="D180" i="496"/>
  <c r="C180" i="496"/>
  <c r="AW179" i="496"/>
  <c r="AV179" i="496"/>
  <c r="AT179" i="496"/>
  <c r="I179" i="496"/>
  <c r="H179" i="496"/>
  <c r="E179" i="496"/>
  <c r="D179" i="496"/>
  <c r="C179" i="496"/>
  <c r="AV178" i="496"/>
  <c r="AT178" i="496"/>
  <c r="I178" i="496"/>
  <c r="H178" i="496"/>
  <c r="E178" i="496"/>
  <c r="D178" i="496"/>
  <c r="C178" i="496"/>
  <c r="AV177" i="496"/>
  <c r="AT177" i="496"/>
  <c r="I177" i="496"/>
  <c r="H177" i="496"/>
  <c r="E177" i="496"/>
  <c r="D177" i="496"/>
  <c r="C177" i="496"/>
  <c r="AV174" i="496"/>
  <c r="AT174" i="496"/>
  <c r="AR174" i="496"/>
  <c r="I174" i="496"/>
  <c r="H174" i="496"/>
  <c r="E174" i="496"/>
  <c r="D174" i="496"/>
  <c r="C174" i="496"/>
  <c r="AV171" i="496"/>
  <c r="AT171" i="496"/>
  <c r="AR171" i="496"/>
  <c r="I171" i="496"/>
  <c r="H171" i="496"/>
  <c r="E171" i="496"/>
  <c r="D171" i="496"/>
  <c r="C171" i="496"/>
  <c r="AV170" i="496"/>
  <c r="AT170" i="496"/>
  <c r="AR170" i="496"/>
  <c r="I170" i="496"/>
  <c r="H170" i="496"/>
  <c r="E170" i="496"/>
  <c r="D170" i="496"/>
  <c r="C170" i="496"/>
  <c r="AV167" i="496"/>
  <c r="AT167" i="496"/>
  <c r="I167" i="496"/>
  <c r="H167" i="496"/>
  <c r="E167" i="496"/>
  <c r="D167" i="496"/>
  <c r="C167" i="496"/>
  <c r="AV166" i="496"/>
  <c r="AT166" i="496"/>
  <c r="AR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I164" i="496"/>
  <c r="H164" i="496"/>
  <c r="E164" i="496"/>
  <c r="D164" i="496"/>
  <c r="C164" i="496"/>
  <c r="AV163" i="496"/>
  <c r="AT163" i="496"/>
  <c r="I163" i="496"/>
  <c r="H163" i="496"/>
  <c r="E163" i="496"/>
  <c r="D163" i="496"/>
  <c r="C163" i="496"/>
  <c r="AV162" i="496"/>
  <c r="AT162" i="496"/>
  <c r="I162" i="496"/>
  <c r="H162" i="496"/>
  <c r="E162" i="496"/>
  <c r="D162" i="496"/>
  <c r="C162" i="496"/>
  <c r="AV161" i="496"/>
  <c r="AT161" i="496"/>
  <c r="I161" i="496"/>
  <c r="H161" i="496"/>
  <c r="E161" i="496"/>
  <c r="D161" i="496"/>
  <c r="C161" i="496"/>
  <c r="AV160" i="496"/>
  <c r="AT160" i="496"/>
  <c r="I160" i="496"/>
  <c r="H160" i="496"/>
  <c r="E160" i="496"/>
  <c r="D160" i="496"/>
  <c r="C160" i="496"/>
  <c r="AV159" i="496"/>
  <c r="AT159" i="496"/>
  <c r="I159" i="496"/>
  <c r="H159" i="496"/>
  <c r="E159" i="496"/>
  <c r="D159" i="496"/>
  <c r="C159" i="496"/>
  <c r="AV158" i="496"/>
  <c r="AT158" i="496"/>
  <c r="I158" i="496"/>
  <c r="H158" i="496"/>
  <c r="E158" i="496"/>
  <c r="D158" i="496"/>
  <c r="C158" i="496"/>
  <c r="AV157" i="496"/>
  <c r="AT157" i="496"/>
  <c r="I157" i="496"/>
  <c r="H157" i="496"/>
  <c r="E157" i="496"/>
  <c r="D157" i="496"/>
  <c r="C157" i="496"/>
  <c r="AV156" i="496"/>
  <c r="AT156" i="496"/>
  <c r="I156" i="496"/>
  <c r="H156" i="496"/>
  <c r="E156" i="496"/>
  <c r="D156" i="496"/>
  <c r="C156" i="496"/>
  <c r="AV155" i="496"/>
  <c r="AT155" i="496"/>
  <c r="I155" i="496"/>
  <c r="H155" i="496"/>
  <c r="E155" i="496"/>
  <c r="D155" i="496"/>
  <c r="C155" i="496"/>
  <c r="AV154" i="496"/>
  <c r="AT154" i="496"/>
  <c r="I154" i="496"/>
  <c r="H154" i="496"/>
  <c r="E154" i="496"/>
  <c r="D154" i="496"/>
  <c r="C154" i="496"/>
  <c r="AV150" i="496"/>
  <c r="AT150" i="496"/>
  <c r="I150" i="496"/>
  <c r="H150" i="496"/>
  <c r="E150" i="496"/>
  <c r="D150" i="496"/>
  <c r="C150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W145" i="496"/>
  <c r="AV145" i="496"/>
  <c r="AT145" i="496"/>
  <c r="I145" i="496"/>
  <c r="H145" i="496"/>
  <c r="E145" i="496"/>
  <c r="D145" i="496"/>
  <c r="C145" i="496"/>
  <c r="AV141" i="496"/>
  <c r="AT141" i="496"/>
  <c r="AR141" i="496"/>
  <c r="I141" i="496"/>
  <c r="H141" i="496"/>
  <c r="E141" i="496"/>
  <c r="D141" i="496"/>
  <c r="C141" i="496"/>
  <c r="AV140" i="496"/>
  <c r="AT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I135" i="496"/>
  <c r="H135" i="496"/>
  <c r="E135" i="496"/>
  <c r="D135" i="496"/>
  <c r="C135" i="496"/>
  <c r="AV134" i="496"/>
  <c r="AT134" i="496"/>
  <c r="I134" i="496"/>
  <c r="H134" i="496"/>
  <c r="E134" i="496"/>
  <c r="D134" i="496"/>
  <c r="C134" i="496"/>
  <c r="AW133" i="496"/>
  <c r="AV133" i="496"/>
  <c r="AT133" i="496"/>
  <c r="I133" i="496"/>
  <c r="H133" i="496"/>
  <c r="E133" i="496"/>
  <c r="D133" i="496"/>
  <c r="C133" i="496"/>
  <c r="AW132" i="496"/>
  <c r="AV132" i="496"/>
  <c r="AT132" i="496"/>
  <c r="I132" i="496"/>
  <c r="H132" i="496"/>
  <c r="E132" i="496"/>
  <c r="D132" i="496"/>
  <c r="C132" i="496"/>
  <c r="AV131" i="496"/>
  <c r="AT131" i="496"/>
  <c r="I131" i="496"/>
  <c r="H131" i="496"/>
  <c r="E131" i="496"/>
  <c r="D131" i="496"/>
  <c r="C131" i="496"/>
  <c r="AV130" i="496"/>
  <c r="AT130" i="496"/>
  <c r="I130" i="496"/>
  <c r="H130" i="496"/>
  <c r="E130" i="496"/>
  <c r="D130" i="496"/>
  <c r="C130" i="496"/>
  <c r="AV129" i="496"/>
  <c r="AT129" i="496"/>
  <c r="I129" i="496"/>
  <c r="H129" i="496"/>
  <c r="E129" i="496"/>
  <c r="D129" i="496"/>
  <c r="C129" i="496"/>
  <c r="AW128" i="496"/>
  <c r="AV128" i="496"/>
  <c r="AT128" i="496"/>
  <c r="I128" i="496"/>
  <c r="H128" i="496"/>
  <c r="E128" i="496"/>
  <c r="D128" i="496"/>
  <c r="C128" i="496"/>
  <c r="AV127" i="496"/>
  <c r="AT127" i="496"/>
  <c r="I127" i="496"/>
  <c r="H127" i="496"/>
  <c r="E127" i="496"/>
  <c r="D127" i="496"/>
  <c r="C127" i="496"/>
  <c r="AV126" i="496"/>
  <c r="AT126" i="496"/>
  <c r="I126" i="496"/>
  <c r="H126" i="496"/>
  <c r="E126" i="496"/>
  <c r="D126" i="496"/>
  <c r="C126" i="496"/>
  <c r="AV125" i="496"/>
  <c r="AT125" i="496"/>
  <c r="I125" i="496"/>
  <c r="H125" i="496"/>
  <c r="E125" i="496"/>
  <c r="D125" i="496"/>
  <c r="C125" i="496"/>
  <c r="AW124" i="496"/>
  <c r="AV124" i="496"/>
  <c r="AT124" i="496"/>
  <c r="I124" i="496"/>
  <c r="H124" i="496"/>
  <c r="E124" i="496"/>
  <c r="D124" i="496"/>
  <c r="C124" i="496"/>
  <c r="AW123" i="496"/>
  <c r="AV123" i="496"/>
  <c r="AT123" i="496"/>
  <c r="I123" i="496"/>
  <c r="H123" i="496"/>
  <c r="E123" i="496"/>
  <c r="D123" i="496"/>
  <c r="C123" i="496"/>
  <c r="AV122" i="496"/>
  <c r="AT122" i="496"/>
  <c r="I122" i="496"/>
  <c r="H122" i="496"/>
  <c r="E122" i="496"/>
  <c r="D122" i="496"/>
  <c r="C122" i="496"/>
  <c r="AV121" i="496"/>
  <c r="AT121" i="496"/>
  <c r="I121" i="496"/>
  <c r="H121" i="496"/>
  <c r="E121" i="496"/>
  <c r="D121" i="496"/>
  <c r="C121" i="496"/>
  <c r="AV120" i="496"/>
  <c r="AT120" i="496"/>
  <c r="I120" i="496"/>
  <c r="H120" i="496"/>
  <c r="E120" i="496"/>
  <c r="D120" i="496"/>
  <c r="C120" i="496"/>
  <c r="AV119" i="496"/>
  <c r="AT119" i="496"/>
  <c r="I119" i="496"/>
  <c r="H119" i="496"/>
  <c r="E119" i="496"/>
  <c r="D119" i="496"/>
  <c r="C119" i="496"/>
  <c r="AV118" i="496"/>
  <c r="AT118" i="496"/>
  <c r="AR118" i="496"/>
  <c r="I118" i="496"/>
  <c r="H118" i="496"/>
  <c r="E118" i="496"/>
  <c r="D118" i="496"/>
  <c r="C118" i="496"/>
  <c r="AV117" i="496"/>
  <c r="AT117" i="496"/>
  <c r="H117" i="496"/>
  <c r="E117" i="496"/>
  <c r="C117" i="496"/>
  <c r="AW116" i="496"/>
  <c r="AV116" i="496"/>
  <c r="AT116" i="496"/>
  <c r="I116" i="496"/>
  <c r="H116" i="496"/>
  <c r="E116" i="496"/>
  <c r="D116" i="496"/>
  <c r="C116" i="496"/>
  <c r="AW115" i="496"/>
  <c r="AV115" i="496"/>
  <c r="AT115" i="496"/>
  <c r="I115" i="496"/>
  <c r="H115" i="496"/>
  <c r="E115" i="496"/>
  <c r="D115" i="496"/>
  <c r="C115" i="496"/>
  <c r="AV114" i="496"/>
  <c r="AT114" i="496"/>
  <c r="AR114" i="496"/>
  <c r="I114" i="496"/>
  <c r="H114" i="496"/>
  <c r="E114" i="496"/>
  <c r="D114" i="496"/>
  <c r="C114" i="496"/>
  <c r="AV113" i="496"/>
  <c r="AT113" i="496"/>
  <c r="AR113" i="496"/>
  <c r="I113" i="496"/>
  <c r="H113" i="496"/>
  <c r="E113" i="496"/>
  <c r="D113" i="496"/>
  <c r="C113" i="496"/>
  <c r="AV112" i="496"/>
  <c r="AT112" i="496"/>
  <c r="AR112" i="496"/>
  <c r="I112" i="496"/>
  <c r="H112" i="496"/>
  <c r="E112" i="496"/>
  <c r="D112" i="496"/>
  <c r="C112" i="496"/>
  <c r="AV111" i="496"/>
  <c r="AT111" i="496"/>
  <c r="AR111" i="496"/>
  <c r="I111" i="496"/>
  <c r="H111" i="496"/>
  <c r="E111" i="496"/>
  <c r="D111" i="496"/>
  <c r="C111" i="496"/>
  <c r="AV110" i="496"/>
  <c r="AT110" i="496"/>
  <c r="AR110" i="496"/>
  <c r="I110" i="496"/>
  <c r="H110" i="496"/>
  <c r="E110" i="496"/>
  <c r="D110" i="496"/>
  <c r="C110" i="496"/>
  <c r="AV109" i="496"/>
  <c r="AT109" i="496"/>
  <c r="AR109" i="496"/>
  <c r="I109" i="496"/>
  <c r="H109" i="496"/>
  <c r="E109" i="496"/>
  <c r="D109" i="496"/>
  <c r="C109" i="496"/>
  <c r="AV108" i="496"/>
  <c r="AT108" i="496"/>
  <c r="AR108" i="496"/>
  <c r="I108" i="496"/>
  <c r="H108" i="496"/>
  <c r="E108" i="496"/>
  <c r="D108" i="496"/>
  <c r="C108" i="496"/>
  <c r="AV107" i="496"/>
  <c r="AT107" i="496"/>
  <c r="AR107" i="496"/>
  <c r="I107" i="496"/>
  <c r="H107" i="496"/>
  <c r="E107" i="496"/>
  <c r="D107" i="496"/>
  <c r="C107" i="496"/>
  <c r="AV106" i="496"/>
  <c r="AT106" i="496"/>
  <c r="I106" i="496"/>
  <c r="H106" i="496"/>
  <c r="E106" i="496"/>
  <c r="D106" i="496"/>
  <c r="C106" i="496"/>
  <c r="AV105" i="496"/>
  <c r="AT105" i="496"/>
  <c r="I105" i="496"/>
  <c r="H105" i="496"/>
  <c r="E105" i="496"/>
  <c r="D105" i="496"/>
  <c r="C105" i="496"/>
  <c r="AV104" i="496"/>
  <c r="AT104" i="496"/>
  <c r="I104" i="496"/>
  <c r="H104" i="496"/>
  <c r="E104" i="496"/>
  <c r="D104" i="496"/>
  <c r="C104" i="496"/>
  <c r="AV103" i="496"/>
  <c r="AT103" i="496"/>
  <c r="I103" i="496"/>
  <c r="H103" i="496"/>
  <c r="E103" i="496"/>
  <c r="D103" i="496"/>
  <c r="C103" i="496"/>
  <c r="AV102" i="496"/>
  <c r="AT102" i="496"/>
  <c r="I102" i="496"/>
  <c r="H102" i="496"/>
  <c r="E102" i="496"/>
  <c r="D102" i="496"/>
  <c r="C102" i="496"/>
  <c r="AV101" i="496"/>
  <c r="AT101" i="496"/>
  <c r="I101" i="496"/>
  <c r="H101" i="496"/>
  <c r="E101" i="496"/>
  <c r="D101" i="496"/>
  <c r="C101" i="496"/>
  <c r="AV100" i="496"/>
  <c r="AT100" i="496"/>
  <c r="I100" i="496"/>
  <c r="H100" i="496"/>
  <c r="E100" i="496"/>
  <c r="D100" i="496"/>
  <c r="C100" i="496"/>
  <c r="AV99" i="496"/>
  <c r="AT99" i="496"/>
  <c r="I99" i="496"/>
  <c r="H99" i="496"/>
  <c r="E99" i="496"/>
  <c r="D99" i="496"/>
  <c r="C99" i="496"/>
  <c r="AV98" i="496"/>
  <c r="AT98" i="496"/>
  <c r="I98" i="496"/>
  <c r="H98" i="496"/>
  <c r="E98" i="496"/>
  <c r="D98" i="496"/>
  <c r="C98" i="496"/>
  <c r="AV97" i="496"/>
  <c r="AT97" i="496"/>
  <c r="I97" i="496"/>
  <c r="H97" i="496"/>
  <c r="E97" i="496"/>
  <c r="D97" i="496"/>
  <c r="C97" i="496"/>
  <c r="AV96" i="496"/>
  <c r="AT96" i="496"/>
  <c r="I96" i="496"/>
  <c r="H96" i="496"/>
  <c r="E96" i="496"/>
  <c r="D96" i="496"/>
  <c r="C96" i="496"/>
  <c r="AV95" i="496"/>
  <c r="AT95" i="496"/>
  <c r="I95" i="496"/>
  <c r="H95" i="496"/>
  <c r="E95" i="496"/>
  <c r="D95" i="496"/>
  <c r="C95" i="496"/>
  <c r="AV94" i="496"/>
  <c r="AT94" i="496"/>
  <c r="I94" i="496"/>
  <c r="H94" i="496"/>
  <c r="E94" i="496"/>
  <c r="D94" i="496"/>
  <c r="C94" i="496"/>
  <c r="AW93" i="496"/>
  <c r="AV93" i="496"/>
  <c r="AT93" i="496"/>
  <c r="I93" i="496"/>
  <c r="H93" i="496"/>
  <c r="E93" i="496"/>
  <c r="D93" i="496"/>
  <c r="C93" i="496"/>
  <c r="AV92" i="496"/>
  <c r="AT92" i="496"/>
  <c r="AR92" i="496"/>
  <c r="I92" i="496"/>
  <c r="H92" i="496"/>
  <c r="E92" i="496"/>
  <c r="D92" i="496"/>
  <c r="C92" i="496"/>
  <c r="AV91" i="496"/>
  <c r="AT91" i="496"/>
  <c r="AR91" i="496"/>
  <c r="I91" i="496"/>
  <c r="H91" i="496"/>
  <c r="E91" i="496"/>
  <c r="D91" i="496"/>
  <c r="C91" i="496"/>
  <c r="AV90" i="496"/>
  <c r="AT90" i="496"/>
  <c r="AR90" i="496"/>
  <c r="I90" i="496"/>
  <c r="H90" i="496"/>
  <c r="E90" i="496"/>
  <c r="D90" i="496"/>
  <c r="C90" i="496"/>
  <c r="AV89" i="496"/>
  <c r="AT89" i="496"/>
  <c r="AR89" i="496"/>
  <c r="I89" i="496"/>
  <c r="H89" i="496"/>
  <c r="E89" i="496"/>
  <c r="D89" i="496"/>
  <c r="C89" i="496"/>
  <c r="AV88" i="496"/>
  <c r="AT88" i="496"/>
  <c r="AR88" i="496"/>
  <c r="I88" i="496"/>
  <c r="H88" i="496"/>
  <c r="E88" i="496"/>
  <c r="D88" i="496"/>
  <c r="C88" i="496"/>
  <c r="AV87" i="496"/>
  <c r="AT87" i="496"/>
  <c r="AR87" i="496"/>
  <c r="I87" i="496"/>
  <c r="H87" i="496"/>
  <c r="E87" i="496"/>
  <c r="D87" i="496"/>
  <c r="C87" i="496"/>
  <c r="AV86" i="496"/>
  <c r="AT86" i="496"/>
  <c r="AR86" i="496"/>
  <c r="I86" i="496"/>
  <c r="H86" i="496"/>
  <c r="E86" i="496"/>
  <c r="D86" i="496"/>
  <c r="C86" i="496"/>
  <c r="AV85" i="496"/>
  <c r="AT85" i="496"/>
  <c r="AR85" i="496"/>
  <c r="I85" i="496"/>
  <c r="H85" i="496"/>
  <c r="E85" i="496"/>
  <c r="D85" i="496"/>
  <c r="C85" i="496"/>
  <c r="AV84" i="496"/>
  <c r="AT84" i="496"/>
  <c r="I84" i="496"/>
  <c r="H84" i="496"/>
  <c r="E84" i="496"/>
  <c r="D84" i="496"/>
  <c r="C84" i="496"/>
  <c r="AV83" i="496"/>
  <c r="AT83" i="496"/>
  <c r="I83" i="496"/>
  <c r="H83" i="496"/>
  <c r="E83" i="496"/>
  <c r="D83" i="496"/>
  <c r="C83" i="496"/>
  <c r="AV82" i="496"/>
  <c r="AT82" i="496"/>
  <c r="I82" i="496"/>
  <c r="H82" i="496"/>
  <c r="E82" i="496"/>
  <c r="D82" i="496"/>
  <c r="C82" i="496"/>
  <c r="AV81" i="496"/>
  <c r="AT81" i="496"/>
  <c r="I81" i="496"/>
  <c r="H81" i="496"/>
  <c r="E81" i="496"/>
  <c r="D81" i="496"/>
  <c r="C81" i="496"/>
  <c r="AV80" i="496"/>
  <c r="AT80" i="496"/>
  <c r="I80" i="496"/>
  <c r="H80" i="496"/>
  <c r="E80" i="496"/>
  <c r="D80" i="496"/>
  <c r="C80" i="496"/>
  <c r="AV79" i="496"/>
  <c r="AT79" i="496"/>
  <c r="I79" i="496"/>
  <c r="H79" i="496"/>
  <c r="E79" i="496"/>
  <c r="D79" i="496"/>
  <c r="C79" i="496"/>
  <c r="AV78" i="496"/>
  <c r="AT78" i="496"/>
  <c r="I78" i="496"/>
  <c r="H78" i="496"/>
  <c r="E78" i="496"/>
  <c r="D78" i="496"/>
  <c r="C78" i="496"/>
  <c r="AV77" i="496"/>
  <c r="AT77" i="496"/>
  <c r="I77" i="496"/>
  <c r="H77" i="496"/>
  <c r="E77" i="496"/>
  <c r="D77" i="496"/>
  <c r="C77" i="496"/>
  <c r="AV76" i="496"/>
  <c r="AT76" i="496"/>
  <c r="I76" i="496"/>
  <c r="H76" i="496"/>
  <c r="E76" i="496"/>
  <c r="D76" i="496"/>
  <c r="C76" i="496"/>
  <c r="AV75" i="496"/>
  <c r="AT75" i="496"/>
  <c r="I75" i="496"/>
  <c r="H75" i="496"/>
  <c r="E75" i="496"/>
  <c r="D75" i="496"/>
  <c r="C75" i="496"/>
  <c r="AV74" i="496"/>
  <c r="AT74" i="496"/>
  <c r="I74" i="496"/>
  <c r="H74" i="496"/>
  <c r="E74" i="496"/>
  <c r="D74" i="496"/>
  <c r="C74" i="496"/>
  <c r="AV73" i="496"/>
  <c r="AT73" i="496"/>
  <c r="I73" i="496"/>
  <c r="H73" i="496"/>
  <c r="E73" i="496"/>
  <c r="D73" i="496"/>
  <c r="C73" i="496"/>
  <c r="AV72" i="496"/>
  <c r="AT72" i="496"/>
  <c r="I72" i="496"/>
  <c r="H72" i="496"/>
  <c r="E72" i="496"/>
  <c r="D72" i="496"/>
  <c r="C72" i="496"/>
  <c r="AV71" i="496"/>
  <c r="AT71" i="496"/>
  <c r="I71" i="496"/>
  <c r="H71" i="496"/>
  <c r="E71" i="496"/>
  <c r="D71" i="496"/>
  <c r="C71" i="496"/>
  <c r="AV70" i="496"/>
  <c r="AT70" i="496"/>
  <c r="I70" i="496"/>
  <c r="H70" i="496"/>
  <c r="E70" i="496"/>
  <c r="D70" i="496"/>
  <c r="C70" i="496"/>
  <c r="AV69" i="496"/>
  <c r="AT69" i="496"/>
  <c r="I69" i="496"/>
  <c r="H69" i="496"/>
  <c r="E69" i="496"/>
  <c r="D69" i="496"/>
  <c r="C69" i="496"/>
  <c r="AV68" i="496"/>
  <c r="AT68" i="496"/>
  <c r="I68" i="496"/>
  <c r="H68" i="496"/>
  <c r="E68" i="496"/>
  <c r="D68" i="496"/>
  <c r="C68" i="496"/>
  <c r="AW67" i="496"/>
  <c r="AV67" i="496"/>
  <c r="AT67" i="496"/>
  <c r="I67" i="496"/>
  <c r="H67" i="496"/>
  <c r="E67" i="496"/>
  <c r="D67" i="496"/>
  <c r="C67" i="496"/>
  <c r="AV66" i="496"/>
  <c r="AT66" i="496"/>
  <c r="I66" i="496"/>
  <c r="H66" i="496"/>
  <c r="E66" i="496"/>
  <c r="D66" i="496"/>
  <c r="C66" i="496"/>
  <c r="AV65" i="496"/>
  <c r="AT65" i="496"/>
  <c r="AR65" i="496"/>
  <c r="I65" i="496"/>
  <c r="H65" i="496"/>
  <c r="E65" i="496"/>
  <c r="D65" i="496"/>
  <c r="C65" i="496"/>
  <c r="AV64" i="496"/>
  <c r="AT64" i="496"/>
  <c r="AR64" i="496"/>
  <c r="I64" i="496"/>
  <c r="H64" i="496"/>
  <c r="E64" i="496"/>
  <c r="D64" i="496"/>
  <c r="C64" i="496"/>
  <c r="AV63" i="496"/>
  <c r="AT63" i="496"/>
  <c r="AR63" i="496"/>
  <c r="I63" i="496"/>
  <c r="H63" i="496"/>
  <c r="E63" i="496"/>
  <c r="D63" i="496"/>
  <c r="C63" i="496"/>
  <c r="AV62" i="496"/>
  <c r="AT62" i="496"/>
  <c r="AR62" i="496"/>
  <c r="I62" i="496"/>
  <c r="H62" i="496"/>
  <c r="E62" i="496"/>
  <c r="D62" i="496"/>
  <c r="C62" i="496"/>
  <c r="AV61" i="496"/>
  <c r="AT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AR53" i="496"/>
  <c r="I53" i="496"/>
  <c r="H53" i="496"/>
  <c r="E53" i="496"/>
  <c r="D53" i="496"/>
  <c r="C53" i="496"/>
  <c r="AV52" i="496"/>
  <c r="AT52" i="496"/>
  <c r="AR52" i="496"/>
  <c r="I52" i="496"/>
  <c r="H52" i="496"/>
  <c r="E52" i="496"/>
  <c r="D52" i="496"/>
  <c r="C52" i="496"/>
  <c r="AV51" i="496"/>
  <c r="AT51" i="496"/>
  <c r="AR51" i="496"/>
  <c r="I51" i="496"/>
  <c r="H51" i="496"/>
  <c r="E51" i="496"/>
  <c r="D51" i="496"/>
  <c r="C51" i="496"/>
  <c r="AV50" i="496"/>
  <c r="AT50" i="496"/>
  <c r="AR50" i="496"/>
  <c r="I50" i="496"/>
  <c r="H50" i="496"/>
  <c r="E50" i="496"/>
  <c r="D50" i="496"/>
  <c r="C50" i="496"/>
  <c r="AV49" i="496"/>
  <c r="AT49" i="496"/>
  <c r="AR49" i="496"/>
  <c r="I49" i="496"/>
  <c r="H49" i="496"/>
  <c r="E49" i="496"/>
  <c r="D49" i="496"/>
  <c r="C49" i="496"/>
  <c r="AV48" i="496"/>
  <c r="AT48" i="496"/>
  <c r="AR48" i="496"/>
  <c r="I48" i="496"/>
  <c r="H48" i="496"/>
  <c r="E48" i="496"/>
  <c r="D48" i="496"/>
  <c r="C48" i="496"/>
  <c r="AV47" i="496"/>
  <c r="AT47" i="496"/>
  <c r="I47" i="496"/>
  <c r="H47" i="496"/>
  <c r="E47" i="496"/>
  <c r="D47" i="496"/>
  <c r="C47" i="496"/>
  <c r="AV46" i="496"/>
  <c r="AT46" i="496"/>
  <c r="I46" i="496"/>
  <c r="H46" i="496"/>
  <c r="E46" i="496"/>
  <c r="D46" i="496"/>
  <c r="C46" i="496"/>
  <c r="AV45" i="496"/>
  <c r="AT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I41" i="496"/>
  <c r="H41" i="496"/>
  <c r="E41" i="496"/>
  <c r="D41" i="496"/>
  <c r="C41" i="496"/>
  <c r="AV40" i="496"/>
  <c r="AT40" i="496"/>
  <c r="I40" i="496"/>
  <c r="H40" i="496"/>
  <c r="E40" i="496"/>
  <c r="D40" i="496"/>
  <c r="C40" i="496"/>
  <c r="AV39" i="496"/>
  <c r="AT39" i="496"/>
  <c r="I39" i="496"/>
  <c r="H39" i="496"/>
  <c r="E39" i="496"/>
  <c r="D39" i="496"/>
  <c r="C39" i="496"/>
  <c r="AV38" i="496"/>
  <c r="AT38" i="496"/>
  <c r="I38" i="496"/>
  <c r="H38" i="496"/>
  <c r="F38" i="496"/>
  <c r="E38" i="496"/>
  <c r="D38" i="496"/>
  <c r="C38" i="496"/>
  <c r="AV37" i="496"/>
  <c r="AT37" i="496"/>
  <c r="I37" i="496"/>
  <c r="H37" i="496"/>
  <c r="E37" i="496"/>
  <c r="D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AR34" i="496"/>
  <c r="I34" i="496"/>
  <c r="H34" i="496"/>
  <c r="E34" i="496"/>
  <c r="D34" i="496"/>
  <c r="C34" i="496"/>
  <c r="AV33" i="496"/>
  <c r="AT33" i="496"/>
  <c r="AR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I29" i="496"/>
  <c r="H29" i="496"/>
  <c r="E29" i="496"/>
  <c r="D29" i="496"/>
  <c r="C29" i="496"/>
  <c r="AV28" i="496"/>
  <c r="AT28" i="496"/>
  <c r="I28" i="496"/>
  <c r="H28" i="496"/>
  <c r="E28" i="496"/>
  <c r="D28" i="496"/>
  <c r="C28" i="496"/>
  <c r="AV27" i="496"/>
  <c r="AT27" i="496"/>
  <c r="I27" i="496"/>
  <c r="H27" i="496"/>
  <c r="E27" i="496"/>
  <c r="D27" i="496"/>
  <c r="C27" i="496"/>
  <c r="AV26" i="496"/>
  <c r="AT26" i="496"/>
  <c r="I26" i="496"/>
  <c r="H26" i="496"/>
  <c r="F26" i="496"/>
  <c r="E26" i="496"/>
  <c r="D26" i="496"/>
  <c r="C26" i="496"/>
  <c r="AV25" i="496"/>
  <c r="AT25" i="496"/>
  <c r="I25" i="496"/>
  <c r="H25" i="496"/>
  <c r="E25" i="496"/>
  <c r="D25" i="496"/>
  <c r="C25" i="496"/>
  <c r="AV24" i="496"/>
  <c r="AT24" i="496"/>
  <c r="I24" i="496"/>
  <c r="H24" i="496"/>
  <c r="E24" i="496"/>
  <c r="D24" i="496"/>
  <c r="C24" i="496"/>
  <c r="AV23" i="496"/>
  <c r="AT23" i="496"/>
  <c r="AR23" i="496"/>
  <c r="I23" i="496"/>
  <c r="H23" i="496"/>
  <c r="E23" i="496"/>
  <c r="D23" i="496"/>
  <c r="C23" i="496"/>
  <c r="AV22" i="496"/>
  <c r="AT22" i="496"/>
  <c r="AR22" i="496"/>
  <c r="I22" i="496"/>
  <c r="H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E18" i="496"/>
  <c r="D18" i="496"/>
  <c r="C18" i="496"/>
  <c r="AV17" i="496"/>
  <c r="AT17" i="496"/>
  <c r="AR17" i="496"/>
  <c r="I17" i="496"/>
  <c r="H17" i="496"/>
  <c r="E17" i="496"/>
  <c r="D17" i="496"/>
  <c r="C17" i="496"/>
  <c r="AV16" i="496"/>
  <c r="AT16" i="496"/>
  <c r="AR16" i="496"/>
  <c r="I16" i="496"/>
  <c r="H16" i="496"/>
  <c r="E16" i="496"/>
  <c r="D16" i="496"/>
  <c r="C16" i="496"/>
  <c r="AV15" i="496"/>
  <c r="AT15" i="496"/>
  <c r="I15" i="496"/>
  <c r="H15" i="496"/>
  <c r="E15" i="496"/>
  <c r="D15" i="496"/>
  <c r="C15" i="496"/>
  <c r="AV14" i="496"/>
  <c r="AT14" i="496"/>
  <c r="I14" i="496"/>
  <c r="H14" i="496"/>
  <c r="E14" i="496"/>
  <c r="D14" i="496"/>
  <c r="C14" i="496"/>
  <c r="AV13" i="496"/>
  <c r="AT13" i="496"/>
  <c r="I13" i="496"/>
  <c r="H13" i="496"/>
  <c r="E13" i="496"/>
  <c r="D13" i="496"/>
  <c r="C13" i="496"/>
  <c r="AW12" i="496"/>
  <c r="AV12" i="496"/>
  <c r="AT12" i="496"/>
  <c r="I12" i="496"/>
  <c r="H12" i="496"/>
  <c r="E12" i="496"/>
  <c r="D12" i="496"/>
  <c r="C12" i="496"/>
  <c r="AV11" i="496"/>
  <c r="AT11" i="496"/>
  <c r="I11" i="496"/>
  <c r="H11" i="496"/>
  <c r="E11" i="496"/>
  <c r="D11" i="496"/>
  <c r="C11" i="496"/>
  <c r="AW10" i="496"/>
  <c r="AV10" i="496"/>
  <c r="AT10" i="496"/>
  <c r="I10" i="496"/>
  <c r="H10" i="496"/>
  <c r="E10" i="496"/>
  <c r="D10" i="496"/>
  <c r="C10" i="496"/>
  <c r="AW9" i="496"/>
  <c r="AV9" i="496"/>
  <c r="AT9" i="496"/>
  <c r="I9" i="496"/>
  <c r="H9" i="496"/>
  <c r="E9" i="496"/>
  <c r="D9" i="496"/>
  <c r="C9" i="496"/>
  <c r="AV8" i="496"/>
  <c r="AT8" i="496"/>
  <c r="I8" i="496"/>
  <c r="H8" i="496"/>
  <c r="E8" i="496"/>
  <c r="D8" i="496"/>
  <c r="C8" i="496"/>
  <c r="AV7" i="496"/>
  <c r="AT7" i="496"/>
  <c r="H7" i="496"/>
  <c r="E7" i="496"/>
  <c r="C7" i="496"/>
  <c r="AV6" i="496"/>
  <c r="AT6" i="496"/>
  <c r="H6" i="496"/>
  <c r="E6" i="496"/>
  <c r="C6" i="496"/>
  <c r="AV5" i="496"/>
  <c r="AT5" i="496"/>
  <c r="I5" i="496"/>
  <c r="H5" i="496"/>
  <c r="E5" i="496"/>
  <c r="D5" i="496"/>
  <c r="C5" i="496"/>
  <c r="AV4" i="496"/>
  <c r="AT4" i="496"/>
  <c r="I4" i="496"/>
  <c r="H4" i="496"/>
  <c r="E4" i="496"/>
  <c r="D4" i="496"/>
  <c r="C4" i="496"/>
  <c r="AW3" i="496"/>
  <c r="AV3" i="496"/>
  <c r="AT3" i="496"/>
  <c r="I3" i="496"/>
  <c r="H3" i="496"/>
  <c r="E3" i="496"/>
  <c r="D3" i="496"/>
  <c r="C3" i="496"/>
  <c r="AW2" i="496"/>
  <c r="AV2" i="496"/>
  <c r="AT2" i="496"/>
  <c r="I2" i="496"/>
  <c r="H2" i="496"/>
  <c r="E2" i="496"/>
  <c r="D2" i="496"/>
  <c r="C2" i="496"/>
</calcChain>
</file>

<file path=xl/sharedStrings.xml><?xml version="1.0" encoding="utf-8"?>
<sst xmlns="http://schemas.openxmlformats.org/spreadsheetml/2006/main" count="91" uniqueCount="78">
  <si>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</si>
  <si>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</si>
  <si>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</si>
  <si>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</si>
  <si>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</si>
  <si>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</si>
  <si>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</si>
  <si>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</si>
  <si>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</si>
  <si>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</si>
  <si>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</si>
  <si>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</si>
  <si>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</si>
  <si>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</si>
  <si>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</si>
  <si>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</si>
  <si>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</si>
  <si>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</si>
  <si>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</si>
  <si>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</si>
  <si>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</si>
  <si>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</si>
  <si>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</si>
  <si>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</si>
  <si>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</si>
  <si>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</si>
  <si>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</si>
  <si>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</si>
  <si>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</si>
  <si>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</si>
  <si>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</si>
  <si>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</si>
  <si>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</si>
  <si>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</si>
  <si>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</si>
  <si>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</si>
  <si>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</si>
  <si>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</si>
  <si>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</si>
  <si>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</si>
  <si>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</si>
  <si>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</si>
  <si>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</si>
  <si>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</si>
  <si>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</si>
  <si>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</si>
  <si>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</si>
  <si>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</si>
  <si>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</si>
  <si>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선인세 도서</t>
  </si>
  <si>
    <t>총 계약금액</t>
  </si>
  <si>
    <t>판매 시작일</t>
  </si>
  <si>
    <t>판매 종료일</t>
  </si>
  <si>
    <t>계약 종료일</t>
  </si>
  <si>
    <t>친절하기는 얼어죽을</t>
  </si>
  <si>
    <t>판매중</t>
  </si>
  <si>
    <t>선인세 차감까지</t>
  </si>
  <si>
    <t>관리 번호</t>
  </si>
  <si>
    <t>정산월</t>
  </si>
  <si>
    <t>판매 기간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</si>
  <si>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</si>
  <si>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</si>
  <si>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</si>
  <si>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</si>
  <si>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</si>
  <si>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</si>
  <si>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</si>
  <si>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</si>
  <si>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</si>
  <si>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ㅇ MG차감 내역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</si>
  <si>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</si>
  <si>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</si>
  <si>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</si>
  <si>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</si>
  <si>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1" type="noConversion"/>
  </si>
  <si>
    <t>총 정산액</t>
    <phoneticPr fontId="18" type="noConversion"/>
  </si>
  <si>
    <t>&lt;친절하기는&gt; MG차감</t>
    <phoneticPr fontId="18" type="noConversion"/>
  </si>
  <si>
    <t>계산서 발행금액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</si>
</sst>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19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33" borderId="0" xfId="1" applyFont="1" applyFill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24" fillId="0" borderId="10" xfId="1" applyFont="1" applyFill="1" applyBorder="1" applyAlignment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305"/>
  <sheetViews>
    <sheetView tabSelected="1" topLeftCell="AG5274" zoomScale="70" zoomScaleNormal="70" workbookViewId="0">
      <selection activeCell="AM5289" sqref="AM5289"/>
    </sheetView>
  </sheetViews>
  <sheetFormatPr defaultRowHeight="17.399999999999999" x14ac:dyDescent="0.4"/>
  <cols>
    <col min="1" max="1" width="12.69921875" bestFit="1" customWidth="1"/>
    <col min="2" max="2" width="11.796875" bestFit="1" customWidth="1"/>
    <col min="3" max="3" width="29.8984375" customWidth="1"/>
    <col min="8" max="8" width="18.69921875" bestFit="1" customWidth="1"/>
    <col min="9" max="9" width="48.19921875" bestFit="1" customWidth="1"/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1.796875" style="4" bestFit="1" customWidth="1"/>
    <col min="44" max="44" width="14.398437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2313016895</v>
      </c>
      <c r="B2">
        <v>2313016895</v>
      </c>
      <c r="C2" t="str">
        <f>T("[e북]사랑도 없이 결혼 (외전증보판) 1권")</f>
        <v>[e북]사랑도 없이 결혼 (외전증보판) 1권</v>
      </c>
      <c r="D2" t="str">
        <f>T("1")</f>
        <v>1</v>
      </c>
      <c r="E2" t="str">
        <f>T("차홍주")</f>
        <v>차홍주</v>
      </c>
      <c r="H2" t="str">
        <f t="shared" ref="H2:H14" si="0">T("도서출판 태랑")</f>
        <v>도서출판 태랑</v>
      </c>
      <c r="I2" t="str">
        <f>T("[e북]사랑도 없이 결혼 (외전증보판)")</f>
        <v>[e북]사랑도 없이 결혼 (외전증보판)</v>
      </c>
      <c r="J2">
        <v>3500</v>
      </c>
      <c r="K2">
        <v>239400</v>
      </c>
      <c r="L2">
        <v>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239400</v>
      </c>
      <c r="AH2">
        <v>73</v>
      </c>
      <c r="AI2">
        <v>0</v>
      </c>
      <c r="AJ2">
        <v>0</v>
      </c>
      <c r="AK2">
        <v>233040</v>
      </c>
      <c r="AL2">
        <v>0</v>
      </c>
      <c r="AM2">
        <v>7632</v>
      </c>
      <c r="AN2">
        <v>-2289.6</v>
      </c>
      <c r="AO2">
        <v>0</v>
      </c>
      <c r="AP2">
        <v>166867.68</v>
      </c>
      <c r="AT2" t="str">
        <f>T("9791164373444")</f>
        <v>9791164373444</v>
      </c>
      <c r="AV2" t="str">
        <f>T("로맨스 e북 &gt; 현대물")</f>
        <v>로맨스 e북 &gt; 현대물</v>
      </c>
      <c r="AW2" t="str">
        <f>T("로맨스 e북 &gt; 19+")</f>
        <v>로맨스 e북 &gt; 19+</v>
      </c>
    </row>
    <row r="3" spans="1:49" x14ac:dyDescent="0.4">
      <c r="A3">
        <v>2313016895</v>
      </c>
      <c r="B3">
        <v>2313016894</v>
      </c>
      <c r="C3" t="str">
        <f>T("[e북]사랑도 없이 결혼 (외전증보판) 2권 (완결)")</f>
        <v>[e북]사랑도 없이 결혼 (외전증보판) 2권 (완결)</v>
      </c>
      <c r="D3" t="str">
        <f>T("2")</f>
        <v>2</v>
      </c>
      <c r="E3" t="str">
        <f>T("차홍주")</f>
        <v>차홍주</v>
      </c>
      <c r="H3" t="str">
        <f t="shared" si="0"/>
        <v>도서출판 태랑</v>
      </c>
      <c r="I3" t="str">
        <f>T("[e북]사랑도 없이 결혼 (외전증보판)")</f>
        <v>[e북]사랑도 없이 결혼 (외전증보판)</v>
      </c>
      <c r="J3">
        <v>3500</v>
      </c>
      <c r="K3">
        <v>187600</v>
      </c>
      <c r="L3">
        <v>57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187600</v>
      </c>
      <c r="AH3">
        <v>57</v>
      </c>
      <c r="AI3">
        <v>0</v>
      </c>
      <c r="AJ3">
        <v>0</v>
      </c>
      <c r="AK3">
        <v>180600</v>
      </c>
      <c r="AL3">
        <v>0</v>
      </c>
      <c r="AM3">
        <v>8400</v>
      </c>
      <c r="AN3">
        <v>-2520</v>
      </c>
      <c r="AO3">
        <v>0</v>
      </c>
      <c r="AP3">
        <v>130536</v>
      </c>
      <c r="AT3" t="str">
        <f>T("9791164373451")</f>
        <v>9791164373451</v>
      </c>
      <c r="AV3" t="str">
        <f>T("로맨스 e북 &gt; 현대물")</f>
        <v>로맨스 e북 &gt; 현대물</v>
      </c>
      <c r="AW3" t="str">
        <f>T("로맨스 e북 &gt; 19+")</f>
        <v>로맨스 e북 &gt; 19+</v>
      </c>
    </row>
    <row r="4" spans="1:49" x14ac:dyDescent="0.4">
      <c r="A4">
        <v>2313016828</v>
      </c>
      <c r="B4">
        <v>2313016828</v>
      </c>
      <c r="C4" t="str">
        <f>T("[e북]천 개의 별 이야기(A Tale of Thousand Stars) 1권")</f>
        <v>[e북]천 개의 별 이야기(A Tale of Thousand Stars) 1권</v>
      </c>
      <c r="D4" t="str">
        <f>T("1")</f>
        <v>1</v>
      </c>
      <c r="E4" t="str">
        <f>T("Bacteria")</f>
        <v>Bacteria</v>
      </c>
      <c r="H4" t="str">
        <f t="shared" si="0"/>
        <v>도서출판 태랑</v>
      </c>
      <c r="I4" t="str">
        <f>T("[e북]천 개의 별 이야기(A Tale of Thousand Stars)")</f>
        <v>[e북]천 개의 별 이야기(A Tale of Thousand Stars)</v>
      </c>
      <c r="J4">
        <v>2700</v>
      </c>
      <c r="K4">
        <v>170100</v>
      </c>
      <c r="L4">
        <v>63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170100</v>
      </c>
      <c r="AH4">
        <v>63</v>
      </c>
      <c r="AI4">
        <v>0</v>
      </c>
      <c r="AJ4">
        <v>0</v>
      </c>
      <c r="AK4">
        <v>164700</v>
      </c>
      <c r="AL4">
        <v>0</v>
      </c>
      <c r="AM4">
        <v>6491.07</v>
      </c>
      <c r="AN4">
        <v>-1947.32</v>
      </c>
      <c r="AO4">
        <v>0</v>
      </c>
      <c r="AP4">
        <v>118470.63</v>
      </c>
      <c r="AT4" t="str">
        <f>T("9791164375172")</f>
        <v>9791164375172</v>
      </c>
      <c r="AV4" t="str">
        <f>T("BL 소설 e북 &gt; 해외 소설")</f>
        <v>BL 소설 e북 &gt; 해외 소설</v>
      </c>
    </row>
    <row r="5" spans="1:49" x14ac:dyDescent="0.4">
      <c r="A5">
        <v>2313016828</v>
      </c>
      <c r="B5">
        <v>2313016826</v>
      </c>
      <c r="C5" t="str">
        <f>T("[e북]천 개의 별 이야기(A Tale of Thousand Stars) 3권 (완결)")</f>
        <v>[e북]천 개의 별 이야기(A Tale of Thousand Stars) 3권 (완결)</v>
      </c>
      <c r="D5" t="str">
        <f>T("3")</f>
        <v>3</v>
      </c>
      <c r="E5" t="str">
        <f>T("Bacteria")</f>
        <v>Bacteria</v>
      </c>
      <c r="H5" t="str">
        <f t="shared" si="0"/>
        <v>도서출판 태랑</v>
      </c>
      <c r="I5" t="str">
        <f>T("[e북]천 개의 별 이야기(A Tale of Thousand Stars)")</f>
        <v>[e북]천 개의 별 이야기(A Tale of Thousand Stars)</v>
      </c>
      <c r="J5">
        <v>2700</v>
      </c>
      <c r="K5">
        <v>151200</v>
      </c>
      <c r="L5">
        <v>56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151200</v>
      </c>
      <c r="AH5">
        <v>56</v>
      </c>
      <c r="AI5">
        <v>0</v>
      </c>
      <c r="AJ5">
        <v>0</v>
      </c>
      <c r="AK5">
        <v>148500</v>
      </c>
      <c r="AL5">
        <v>0</v>
      </c>
      <c r="AM5">
        <v>3240</v>
      </c>
      <c r="AN5">
        <v>-972</v>
      </c>
      <c r="AO5">
        <v>0</v>
      </c>
      <c r="AP5">
        <v>105537.60000000001</v>
      </c>
      <c r="AT5" t="str">
        <f>T("9791164375196")</f>
        <v>9791164375196</v>
      </c>
      <c r="AV5" t="str">
        <f>T("BL 소설 e북 &gt; 해외 소설")</f>
        <v>BL 소설 e북 &gt; 해외 소설</v>
      </c>
    </row>
    <row r="6" spans="1:49" x14ac:dyDescent="0.4">
      <c r="B6">
        <v>2313017647</v>
      </c>
      <c r="C6" t="str">
        <f>T("[e북]영원한 1위")</f>
        <v>[e북]영원한 1위</v>
      </c>
      <c r="E6" t="str">
        <f>T("羽宸寰(Uchenhu), 林珮瑜(Lin Peiyu)")</f>
        <v>羽宸寰(Uchenhu), 林珮瑜(Lin Peiyu)</v>
      </c>
      <c r="H6" t="str">
        <f t="shared" si="0"/>
        <v>도서출판 태랑</v>
      </c>
      <c r="J6">
        <v>3000</v>
      </c>
      <c r="K6">
        <v>150000</v>
      </c>
      <c r="L6">
        <v>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150000</v>
      </c>
      <c r="AH6">
        <v>50</v>
      </c>
      <c r="AI6">
        <v>0</v>
      </c>
      <c r="AJ6">
        <v>0</v>
      </c>
      <c r="AK6">
        <v>150000</v>
      </c>
      <c r="AL6">
        <v>0</v>
      </c>
      <c r="AM6">
        <v>0</v>
      </c>
      <c r="AN6">
        <v>0</v>
      </c>
      <c r="AO6">
        <v>0</v>
      </c>
      <c r="AP6">
        <v>105000</v>
      </c>
      <c r="AT6" t="str">
        <f>T("9791164375127")</f>
        <v>9791164375127</v>
      </c>
      <c r="AV6" t="str">
        <f>T("BL 소설 e북 &gt; 해외 소설")</f>
        <v>BL 소설 e북 &gt; 해외 소설</v>
      </c>
    </row>
    <row r="7" spans="1:49" x14ac:dyDescent="0.4">
      <c r="B7">
        <v>2313017656</v>
      </c>
      <c r="C7" t="str">
        <f>T("[e북]2위의 역습")</f>
        <v>[e북]2위의 역습</v>
      </c>
      <c r="E7" t="str">
        <f>T("羽宸寰(Uchenhu), 林珮瑜(Lin Peiyu)")</f>
        <v>羽宸寰(Uchenhu), 林珮瑜(Lin Peiyu)</v>
      </c>
      <c r="H7" t="str">
        <f t="shared" si="0"/>
        <v>도서출판 태랑</v>
      </c>
      <c r="J7">
        <v>3200</v>
      </c>
      <c r="K7">
        <v>147200</v>
      </c>
      <c r="L7">
        <v>46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147200</v>
      </c>
      <c r="AH7">
        <v>46</v>
      </c>
      <c r="AI7">
        <v>0</v>
      </c>
      <c r="AJ7">
        <v>0</v>
      </c>
      <c r="AK7">
        <v>144900</v>
      </c>
      <c r="AL7">
        <v>0</v>
      </c>
      <c r="AM7">
        <v>2769.43</v>
      </c>
      <c r="AN7">
        <v>-830.83</v>
      </c>
      <c r="AO7">
        <v>0</v>
      </c>
      <c r="AP7">
        <v>102787.02</v>
      </c>
      <c r="AT7" t="str">
        <f>T("9791164375134")</f>
        <v>9791164375134</v>
      </c>
      <c r="AV7" t="str">
        <f>T("BL 소설 e북 &gt; 현대물")</f>
        <v>BL 소설 e북 &gt; 현대물</v>
      </c>
    </row>
    <row r="8" spans="1:49" x14ac:dyDescent="0.4">
      <c r="A8">
        <v>2313016828</v>
      </c>
      <c r="B8">
        <v>2313016827</v>
      </c>
      <c r="C8" t="str">
        <f>T("[e북]천 개의 별 이야기(A Tale of Thousand Stars) 2권")</f>
        <v>[e북]천 개의 별 이야기(A Tale of Thousand Stars) 2권</v>
      </c>
      <c r="D8" t="str">
        <f>T("2")</f>
        <v>2</v>
      </c>
      <c r="E8" t="str">
        <f>T("Bacteria")</f>
        <v>Bacteria</v>
      </c>
      <c r="H8" t="str">
        <f t="shared" si="0"/>
        <v>도서출판 태랑</v>
      </c>
      <c r="I8" t="str">
        <f>T("[e북]천 개의 별 이야기(A Tale of Thousand Stars)")</f>
        <v>[e북]천 개의 별 이야기(A Tale of Thousand Stars)</v>
      </c>
      <c r="J8">
        <v>2700</v>
      </c>
      <c r="K8">
        <v>137700</v>
      </c>
      <c r="L8">
        <v>51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137700</v>
      </c>
      <c r="AH8">
        <v>51</v>
      </c>
      <c r="AI8">
        <v>0</v>
      </c>
      <c r="AJ8">
        <v>0</v>
      </c>
      <c r="AK8">
        <v>132300</v>
      </c>
      <c r="AL8">
        <v>0</v>
      </c>
      <c r="AM8">
        <v>6491.07</v>
      </c>
      <c r="AN8">
        <v>-1947.32</v>
      </c>
      <c r="AO8">
        <v>0</v>
      </c>
      <c r="AP8">
        <v>95790.63</v>
      </c>
      <c r="AT8" t="str">
        <f>T("9791164375189")</f>
        <v>9791164375189</v>
      </c>
      <c r="AV8" t="str">
        <f>T("BL 소설 e북 &gt; 해외 소설")</f>
        <v>BL 소설 e북 &gt; 해외 소설</v>
      </c>
    </row>
    <row r="9" spans="1:49" x14ac:dyDescent="0.4">
      <c r="A9">
        <v>2313016859</v>
      </c>
      <c r="B9">
        <v>2313016859</v>
      </c>
      <c r="C9" t="str">
        <f>T("[e북]거짓말 1권")</f>
        <v>[e북]거짓말 1권</v>
      </c>
      <c r="D9" t="str">
        <f>T("1")</f>
        <v>1</v>
      </c>
      <c r="E9" t="str">
        <f>T("마뇽")</f>
        <v>마뇽</v>
      </c>
      <c r="H9" t="str">
        <f t="shared" si="0"/>
        <v>도서출판 태랑</v>
      </c>
      <c r="I9" t="str">
        <f>T("[e북]거짓말")</f>
        <v>[e북]거짓말</v>
      </c>
      <c r="J9">
        <v>3000</v>
      </c>
      <c r="K9">
        <v>135000</v>
      </c>
      <c r="L9">
        <v>49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-2700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135000</v>
      </c>
      <c r="AH9">
        <v>49</v>
      </c>
      <c r="AI9">
        <v>-2700</v>
      </c>
      <c r="AJ9">
        <v>1</v>
      </c>
      <c r="AK9">
        <v>132300</v>
      </c>
      <c r="AL9">
        <v>-2700</v>
      </c>
      <c r="AM9">
        <v>3240</v>
      </c>
      <c r="AN9">
        <v>-972</v>
      </c>
      <c r="AO9">
        <v>0</v>
      </c>
      <c r="AP9">
        <v>92307.6</v>
      </c>
      <c r="AT9" t="str">
        <f>T("9791164374618")</f>
        <v>9791164374618</v>
      </c>
      <c r="AV9" t="str">
        <f>T("로맨스 e북 &gt; 역사/시대물")</f>
        <v>로맨스 e북 &gt; 역사/시대물</v>
      </c>
      <c r="AW9" t="str">
        <f>T("로맨스 e북 &gt; 19+")</f>
        <v>로맨스 e북 &gt; 19+</v>
      </c>
    </row>
    <row r="10" spans="1:49" x14ac:dyDescent="0.4">
      <c r="A10">
        <v>2313016859</v>
      </c>
      <c r="B10">
        <v>2313016858</v>
      </c>
      <c r="C10" t="str">
        <f>T("[e북]거짓말 2권 (완결)")</f>
        <v>[e북]거짓말 2권 (완결)</v>
      </c>
      <c r="D10" t="str">
        <f>T("2")</f>
        <v>2</v>
      </c>
      <c r="E10" t="str">
        <f>T("마뇽")</f>
        <v>마뇽</v>
      </c>
      <c r="H10" t="str">
        <f t="shared" si="0"/>
        <v>도서출판 태랑</v>
      </c>
      <c r="I10" t="str">
        <f>T("[e북]거짓말")</f>
        <v>[e북]거짓말</v>
      </c>
      <c r="J10">
        <v>3000</v>
      </c>
      <c r="K10">
        <v>129300</v>
      </c>
      <c r="L10">
        <v>47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-2700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129300</v>
      </c>
      <c r="AH10">
        <v>47</v>
      </c>
      <c r="AI10">
        <v>-2700</v>
      </c>
      <c r="AJ10">
        <v>1</v>
      </c>
      <c r="AK10">
        <v>126600</v>
      </c>
      <c r="AL10">
        <v>-2700</v>
      </c>
      <c r="AM10">
        <v>3240</v>
      </c>
      <c r="AN10">
        <v>-972</v>
      </c>
      <c r="AO10">
        <v>0</v>
      </c>
      <c r="AP10">
        <v>88317.6</v>
      </c>
      <c r="AT10" t="str">
        <f>T("9791164374625")</f>
        <v>9791164374625</v>
      </c>
      <c r="AV10" t="str">
        <f>T("로맨스 e북 &gt; 역사/시대물")</f>
        <v>로맨스 e북 &gt; 역사/시대물</v>
      </c>
      <c r="AW10" t="str">
        <f>T("로맨스 e북 &gt; 19+")</f>
        <v>로맨스 e북 &gt; 19+</v>
      </c>
    </row>
    <row r="11" spans="1:49" x14ac:dyDescent="0.4">
      <c r="A11">
        <v>2313017016</v>
      </c>
      <c r="B11">
        <v>2313017016</v>
      </c>
      <c r="C11" t="str">
        <f>T("[e북]트리거")</f>
        <v>[e북]트리거</v>
      </c>
      <c r="D11" t="str">
        <f>T("1")</f>
        <v>1</v>
      </c>
      <c r="E11" t="str">
        <f>T("블랙커피")</f>
        <v>블랙커피</v>
      </c>
      <c r="H11" t="str">
        <f t="shared" si="0"/>
        <v>도서출판 태랑</v>
      </c>
      <c r="I11" t="str">
        <f>T("[e북]트리거")</f>
        <v>[e북]트리거</v>
      </c>
      <c r="J11">
        <v>4000</v>
      </c>
      <c r="K11">
        <v>104000</v>
      </c>
      <c r="L11">
        <v>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104000</v>
      </c>
      <c r="AH11">
        <v>26</v>
      </c>
      <c r="AI11">
        <v>0</v>
      </c>
      <c r="AJ11">
        <v>0</v>
      </c>
      <c r="AK11">
        <v>104000</v>
      </c>
      <c r="AL11">
        <v>0</v>
      </c>
      <c r="AM11">
        <v>0</v>
      </c>
      <c r="AN11">
        <v>0</v>
      </c>
      <c r="AO11">
        <v>0</v>
      </c>
      <c r="AP11">
        <v>72800</v>
      </c>
      <c r="AT11" t="str">
        <f>T("9791164371983")</f>
        <v>9791164371983</v>
      </c>
      <c r="AV11" t="str">
        <f>T("BL 소설 e북 &gt; 현대물")</f>
        <v>BL 소설 e북 &gt; 현대물</v>
      </c>
    </row>
    <row r="12" spans="1:49" x14ac:dyDescent="0.4">
      <c r="A12">
        <v>2313016895</v>
      </c>
      <c r="B12">
        <v>2313016893</v>
      </c>
      <c r="C12" t="str">
        <f>T("[e북]사랑도 없이 결혼 (외전증보판) (외전)")</f>
        <v>[e북]사랑도 없이 결혼 (외전증보판) (외전)</v>
      </c>
      <c r="D12" t="str">
        <f>T("3")</f>
        <v>3</v>
      </c>
      <c r="E12" t="str">
        <f>T("차홍주")</f>
        <v>차홍주</v>
      </c>
      <c r="H12" t="str">
        <f t="shared" si="0"/>
        <v>도서출판 태랑</v>
      </c>
      <c r="I12" t="str">
        <f>T("[e북]사랑도 없이 결혼 (외전증보판)")</f>
        <v>[e북]사랑도 없이 결혼 (외전증보판)</v>
      </c>
      <c r="J12">
        <v>1000</v>
      </c>
      <c r="K12">
        <v>56000</v>
      </c>
      <c r="L12">
        <v>60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56000</v>
      </c>
      <c r="AH12">
        <v>60</v>
      </c>
      <c r="AI12">
        <v>0</v>
      </c>
      <c r="AJ12">
        <v>0</v>
      </c>
      <c r="AK12">
        <v>55000</v>
      </c>
      <c r="AL12">
        <v>0</v>
      </c>
      <c r="AM12">
        <v>1200</v>
      </c>
      <c r="AN12">
        <v>-360</v>
      </c>
      <c r="AO12">
        <v>0</v>
      </c>
      <c r="AP12">
        <v>39088</v>
      </c>
      <c r="AT12" t="str">
        <f>T("9791164373789")</f>
        <v>9791164373789</v>
      </c>
      <c r="AV12" t="str">
        <f>T("로맨스 e북 &gt; 현대물")</f>
        <v>로맨스 e북 &gt; 현대물</v>
      </c>
      <c r="AW12" t="str">
        <f>T("로맨스 e북 &gt; 19+")</f>
        <v>로맨스 e북 &gt; 19+</v>
      </c>
    </row>
    <row r="13" spans="1:49" x14ac:dyDescent="0.4">
      <c r="A13">
        <v>2313017106</v>
      </c>
      <c r="B13">
        <v>2313017105</v>
      </c>
      <c r="C13" t="str">
        <f>T("[e북]개정판 | 야쿠자가 사랑을 한다면 2권 (완결)")</f>
        <v>[e북]개정판 | 야쿠자가 사랑을 한다면 2권 (완결)</v>
      </c>
      <c r="D13" t="str">
        <f>T("2")</f>
        <v>2</v>
      </c>
      <c r="E13" t="str">
        <f>T("모리미")</f>
        <v>모리미</v>
      </c>
      <c r="H13" t="str">
        <f t="shared" si="0"/>
        <v>도서출판 태랑</v>
      </c>
      <c r="I13" t="str">
        <f>T("[e북]개정판 | 야쿠자가 사랑을 한다면")</f>
        <v>[e북]개정판 | 야쿠자가 사랑을 한다면</v>
      </c>
      <c r="J13">
        <v>3200</v>
      </c>
      <c r="K13">
        <v>51200</v>
      </c>
      <c r="L13">
        <v>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51200</v>
      </c>
      <c r="AH13">
        <v>16</v>
      </c>
      <c r="AI13">
        <v>0</v>
      </c>
      <c r="AJ13">
        <v>0</v>
      </c>
      <c r="AK13">
        <v>48000</v>
      </c>
      <c r="AL13">
        <v>0</v>
      </c>
      <c r="AM13">
        <v>3840</v>
      </c>
      <c r="AN13">
        <v>-1152</v>
      </c>
      <c r="AO13">
        <v>0</v>
      </c>
      <c r="AP13">
        <v>35481.599999999999</v>
      </c>
      <c r="AT13" t="str">
        <f>T("9791189627843")</f>
        <v>9791189627843</v>
      </c>
      <c r="AV13" t="str">
        <f>T("BL 소설 e북 &gt; 현대물")</f>
        <v>BL 소설 e북 &gt; 현대물</v>
      </c>
    </row>
    <row r="14" spans="1:49" x14ac:dyDescent="0.4">
      <c r="A14">
        <v>2313017106</v>
      </c>
      <c r="B14">
        <v>2313017106</v>
      </c>
      <c r="C14" t="str">
        <f>T("[e북]개정판 | 야쿠자가 사랑을 한다면 1권")</f>
        <v>[e북]개정판 | 야쿠자가 사랑을 한다면 1권</v>
      </c>
      <c r="D14" t="str">
        <f>T("1")</f>
        <v>1</v>
      </c>
      <c r="E14" t="str">
        <f>T("모리미")</f>
        <v>모리미</v>
      </c>
      <c r="H14" t="str">
        <f t="shared" si="0"/>
        <v>도서출판 태랑</v>
      </c>
      <c r="I14" t="str">
        <f>T("[e북]개정판 | 야쿠자가 사랑을 한다면")</f>
        <v>[e북]개정판 | 야쿠자가 사랑을 한다면</v>
      </c>
      <c r="J14">
        <v>3200</v>
      </c>
      <c r="K14">
        <v>51200</v>
      </c>
      <c r="L14">
        <v>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51200</v>
      </c>
      <c r="AH14">
        <v>16</v>
      </c>
      <c r="AI14">
        <v>0</v>
      </c>
      <c r="AJ14">
        <v>0</v>
      </c>
      <c r="AK14">
        <v>48000</v>
      </c>
      <c r="AL14">
        <v>0</v>
      </c>
      <c r="AM14">
        <v>3840</v>
      </c>
      <c r="AN14">
        <v>-1152</v>
      </c>
      <c r="AO14">
        <v>0</v>
      </c>
      <c r="AP14">
        <v>35481.599999999999</v>
      </c>
      <c r="AT14" t="str">
        <f>T("9791189627836")</f>
        <v>9791189627836</v>
      </c>
      <c r="AV14" t="str">
        <f>T("BL 소설 e북 &gt; 현대물")</f>
        <v>BL 소설 e북 &gt; 현대물</v>
      </c>
    </row>
    <row r="15" spans="1:49" x14ac:dyDescent="0.4">
      <c r="A15">
        <v>2313018089</v>
      </c>
      <c r="B15">
        <v>2313018090</v>
      </c>
      <c r="C15" t="str">
        <f>T("[e북]신들의 알바나라 2권")</f>
        <v>[e북]신들의 알바나라 2권</v>
      </c>
      <c r="D15" t="str">
        <f>T("2")</f>
        <v>2</v>
      </c>
      <c r="E15" t="str">
        <f>T("갓띵작")</f>
        <v>갓띵작</v>
      </c>
      <c r="H15" t="str">
        <f>T("스토리위즈")</f>
        <v>스토리위즈</v>
      </c>
      <c r="I15" t="str">
        <f>T("[e북]신들의 알바나라")</f>
        <v>[e북]신들의 알바나라</v>
      </c>
      <c r="J15">
        <v>3200</v>
      </c>
      <c r="K15">
        <v>48000</v>
      </c>
      <c r="L15">
        <v>15</v>
      </c>
      <c r="M15">
        <v>0</v>
      </c>
      <c r="N15">
        <v>81990</v>
      </c>
      <c r="O15">
        <v>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129990</v>
      </c>
      <c r="AH15">
        <v>109</v>
      </c>
      <c r="AI15">
        <v>0</v>
      </c>
      <c r="AJ15">
        <v>0</v>
      </c>
      <c r="AK15">
        <v>129990</v>
      </c>
      <c r="AL15">
        <v>0</v>
      </c>
      <c r="AM15">
        <v>0</v>
      </c>
      <c r="AN15">
        <v>0</v>
      </c>
      <c r="AO15">
        <v>0</v>
      </c>
      <c r="AP15">
        <v>90993</v>
      </c>
      <c r="AT15" t="str">
        <f>T("9791137604506")</f>
        <v>9791137604506</v>
      </c>
      <c r="AV15" t="str">
        <f>T("판타지 e북 &gt; 퓨전 판타지")</f>
        <v>판타지 e북 &gt; 퓨전 판타지</v>
      </c>
    </row>
    <row r="16" spans="1:49" x14ac:dyDescent="0.4">
      <c r="A16">
        <v>2313009739</v>
      </c>
      <c r="B16">
        <v>2313009739</v>
      </c>
      <c r="C16" t="str">
        <f>T("[e북]컬러 러쉬 1권")</f>
        <v>[e북]컬러 러쉬 1권</v>
      </c>
      <c r="D16" t="str">
        <f>T("1")</f>
        <v>1</v>
      </c>
      <c r="E16" t="str">
        <f>T("세상")</f>
        <v>세상</v>
      </c>
      <c r="H16" t="str">
        <f>T("스토리위즈")</f>
        <v>스토리위즈</v>
      </c>
      <c r="I16" t="str">
        <f>T("[e북]컬러 러쉬")</f>
        <v>[e북]컬러 러쉬</v>
      </c>
      <c r="J16">
        <v>2800</v>
      </c>
      <c r="K16">
        <v>42000</v>
      </c>
      <c r="L16">
        <v>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42000</v>
      </c>
      <c r="AH16">
        <v>15</v>
      </c>
      <c r="AI16">
        <v>0</v>
      </c>
      <c r="AJ16">
        <v>0</v>
      </c>
      <c r="AK16">
        <v>42000</v>
      </c>
      <c r="AL16">
        <v>0</v>
      </c>
      <c r="AM16">
        <v>0</v>
      </c>
      <c r="AN16">
        <v>0</v>
      </c>
      <c r="AO16">
        <v>0</v>
      </c>
      <c r="AP16">
        <v>29400</v>
      </c>
      <c r="AR16" t="str">
        <f>T("0000000000000")</f>
        <v>0000000000000</v>
      </c>
      <c r="AT16" t="str">
        <f>T("9791166068171")</f>
        <v>9791166068171</v>
      </c>
      <c r="AV16" t="str">
        <f>T("BL 소설 e북 &gt; 현대물")</f>
        <v>BL 소설 e북 &gt; 현대물</v>
      </c>
    </row>
    <row r="17" spans="1:48" x14ac:dyDescent="0.4">
      <c r="A17">
        <v>2313009739</v>
      </c>
      <c r="B17">
        <v>2313009741</v>
      </c>
      <c r="C17" t="str">
        <f>T("[e북]컬러 러쉬 3권 (완결)")</f>
        <v>[e북]컬러 러쉬 3권 (완결)</v>
      </c>
      <c r="D17" t="str">
        <f>T("3")</f>
        <v>3</v>
      </c>
      <c r="E17" t="str">
        <f>T("세상")</f>
        <v>세상</v>
      </c>
      <c r="H17" t="str">
        <f>T("스토리위즈")</f>
        <v>스토리위즈</v>
      </c>
      <c r="I17" t="str">
        <f>T("[e북]컬러 러쉬")</f>
        <v>[e북]컬러 러쉬</v>
      </c>
      <c r="J17">
        <v>2800</v>
      </c>
      <c r="K17">
        <v>42000</v>
      </c>
      <c r="L17">
        <v>15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42000</v>
      </c>
      <c r="AH17">
        <v>15</v>
      </c>
      <c r="AI17">
        <v>0</v>
      </c>
      <c r="AJ17">
        <v>0</v>
      </c>
      <c r="AK17">
        <v>42000</v>
      </c>
      <c r="AL17">
        <v>0</v>
      </c>
      <c r="AM17">
        <v>0</v>
      </c>
      <c r="AN17">
        <v>0</v>
      </c>
      <c r="AO17">
        <v>0</v>
      </c>
      <c r="AP17">
        <v>29400</v>
      </c>
      <c r="AR17" t="str">
        <f>T("0000000000000")</f>
        <v>0000000000000</v>
      </c>
      <c r="AT17" t="str">
        <f>T("9791166068195")</f>
        <v>9791166068195</v>
      </c>
      <c r="AV17" t="str">
        <f>T("BL 소설 e북 &gt; 현대물")</f>
        <v>BL 소설 e북 &gt; 현대물</v>
      </c>
    </row>
    <row r="18" spans="1:48" x14ac:dyDescent="0.4">
      <c r="A18">
        <v>2313008324</v>
      </c>
      <c r="B18">
        <v>2313008325</v>
      </c>
      <c r="C18" t="str">
        <f>T("[e북]간신이 나라를 살림 2권")</f>
        <v>[e북]간신이 나라를 살림 2권</v>
      </c>
      <c r="D18" t="str">
        <f>T("2")</f>
        <v>2</v>
      </c>
      <c r="E18" t="str">
        <f>T("루이세")</f>
        <v>루이세</v>
      </c>
      <c r="H18" t="str">
        <f>T("스토리위즈")</f>
        <v>스토리위즈</v>
      </c>
      <c r="I18" t="str">
        <f>T("[e북]간신이 나라를 살림")</f>
        <v>[e북]간신이 나라를 살림</v>
      </c>
      <c r="J18">
        <v>3200</v>
      </c>
      <c r="K18">
        <v>41600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132800</v>
      </c>
      <c r="T18">
        <v>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-3200</v>
      </c>
      <c r="AD18">
        <v>2</v>
      </c>
      <c r="AE18">
        <v>0</v>
      </c>
      <c r="AF18">
        <v>0</v>
      </c>
      <c r="AG18">
        <v>174400</v>
      </c>
      <c r="AH18">
        <v>96</v>
      </c>
      <c r="AI18">
        <v>-3200</v>
      </c>
      <c r="AJ18">
        <v>2</v>
      </c>
      <c r="AK18">
        <v>174400</v>
      </c>
      <c r="AL18">
        <v>-3200</v>
      </c>
      <c r="AM18">
        <v>0</v>
      </c>
      <c r="AN18">
        <v>0</v>
      </c>
      <c r="AO18">
        <v>0</v>
      </c>
      <c r="AP18">
        <v>119840</v>
      </c>
      <c r="AT18" t="str">
        <f>T("9791165310721")</f>
        <v>9791165310721</v>
      </c>
      <c r="AV18" t="str">
        <f>T("판타지 e북 &gt; 퓨전 판타지")</f>
        <v>판타지 e북 &gt; 퓨전 판타지</v>
      </c>
    </row>
    <row r="19" spans="1:48" x14ac:dyDescent="0.4">
      <c r="A19">
        <v>2313008324</v>
      </c>
      <c r="B19">
        <v>2313008326</v>
      </c>
      <c r="C19" t="str">
        <f>T("[e북]간신이 나라를 살림 3권")</f>
        <v>[e북]간신이 나라를 살림 3권</v>
      </c>
      <c r="D19" t="str">
        <f>T("3")</f>
        <v>3</v>
      </c>
      <c r="E19" t="str">
        <f>T("루이세")</f>
        <v>루이세</v>
      </c>
      <c r="H19" t="str">
        <f>T("스토리위즈")</f>
        <v>스토리위즈</v>
      </c>
      <c r="I19" t="str">
        <f>T("[e북]간신이 나라를 살림")</f>
        <v>[e북]간신이 나라를 살림</v>
      </c>
      <c r="J19">
        <v>3200</v>
      </c>
      <c r="K19">
        <v>41600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132800</v>
      </c>
      <c r="T19">
        <v>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-3200</v>
      </c>
      <c r="AD19">
        <v>2</v>
      </c>
      <c r="AE19">
        <v>0</v>
      </c>
      <c r="AF19">
        <v>0</v>
      </c>
      <c r="AG19">
        <v>174400</v>
      </c>
      <c r="AH19">
        <v>96</v>
      </c>
      <c r="AI19">
        <v>-3200</v>
      </c>
      <c r="AJ19">
        <v>2</v>
      </c>
      <c r="AK19">
        <v>174400</v>
      </c>
      <c r="AL19">
        <v>-3200</v>
      </c>
      <c r="AM19">
        <v>0</v>
      </c>
      <c r="AN19">
        <v>0</v>
      </c>
      <c r="AO19">
        <v>0</v>
      </c>
      <c r="AP19">
        <v>119840</v>
      </c>
      <c r="AT19" t="str">
        <f>T("9791165310738")</f>
        <v>9791165310738</v>
      </c>
      <c r="AV19" t="str">
        <f>T("판타지 e북 &gt; 퓨전 판타지")</f>
        <v>판타지 e북 &gt; 퓨전 판타지</v>
      </c>
    </row>
    <row r="20" spans="1:48" x14ac:dyDescent="0.4">
      <c r="A20">
        <v>2313016857</v>
      </c>
      <c r="B20">
        <v>2313016857</v>
      </c>
      <c r="C20" t="str">
        <f>T("[e북]소투스 (SOTUS) 1권")</f>
        <v>[e북]소투스 (SOTUS) 1권</v>
      </c>
      <c r="D20" t="str">
        <f>T("1")</f>
        <v>1</v>
      </c>
      <c r="E20" t="str">
        <f>T("BitterSweet")</f>
        <v>BitterSweet</v>
      </c>
      <c r="H20" t="str">
        <f>T("도서출판 태랑")</f>
        <v>도서출판 태랑</v>
      </c>
      <c r="I20" t="str">
        <f>T("[e북]소투스 (SOTUS)")</f>
        <v>[e북]소투스 (SOTUS)</v>
      </c>
      <c r="J20">
        <v>3600</v>
      </c>
      <c r="K20">
        <v>39600</v>
      </c>
      <c r="L20">
        <v>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39600</v>
      </c>
      <c r="AH20">
        <v>11</v>
      </c>
      <c r="AI20">
        <v>0</v>
      </c>
      <c r="AJ20">
        <v>0</v>
      </c>
      <c r="AK20">
        <v>39600</v>
      </c>
      <c r="AL20">
        <v>0</v>
      </c>
      <c r="AM20">
        <v>0</v>
      </c>
      <c r="AN20">
        <v>0</v>
      </c>
      <c r="AO20">
        <v>0</v>
      </c>
      <c r="AP20">
        <v>27720</v>
      </c>
      <c r="AT20" t="str">
        <f>T("9791164374632")</f>
        <v>9791164374632</v>
      </c>
      <c r="AV20" t="str">
        <f>T("BL 소설 e북 &gt; 해외 소설")</f>
        <v>BL 소설 e북 &gt; 해외 소설</v>
      </c>
    </row>
    <row r="21" spans="1:48" x14ac:dyDescent="0.4">
      <c r="A21">
        <v>2313011938</v>
      </c>
      <c r="B21">
        <v>2313015166</v>
      </c>
      <c r="C21" t="str">
        <f>T("[e북]최종 보스 : 빛을 향해 달리는 그림자 2부 21권")</f>
        <v>[e북]최종 보스 : 빛을 향해 달리는 그림자 2부 21권</v>
      </c>
      <c r="D21" t="str">
        <f>T("21")</f>
        <v>21</v>
      </c>
      <c r="E21" t="str">
        <f>T("무장")</f>
        <v>무장</v>
      </c>
      <c r="H21" t="str">
        <f>T("스토리위즈")</f>
        <v>스토리위즈</v>
      </c>
      <c r="I21" t="str">
        <f>T("[e북]최종 보스 : 빛을 향해 달리는 그림자")</f>
        <v>[e북]최종 보스 : 빛을 향해 달리는 그림자</v>
      </c>
      <c r="J21">
        <v>3200</v>
      </c>
      <c r="K21">
        <v>38400</v>
      </c>
      <c r="L21">
        <v>12</v>
      </c>
      <c r="M21">
        <v>0</v>
      </c>
      <c r="N21">
        <v>141390</v>
      </c>
      <c r="O21">
        <v>191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-1530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179790</v>
      </c>
      <c r="AH21">
        <v>203</v>
      </c>
      <c r="AI21">
        <v>-1530</v>
      </c>
      <c r="AJ21">
        <v>2</v>
      </c>
      <c r="AK21">
        <v>175078</v>
      </c>
      <c r="AL21">
        <v>-1530</v>
      </c>
      <c r="AM21">
        <v>5654.4</v>
      </c>
      <c r="AN21">
        <v>-1696.32</v>
      </c>
      <c r="AO21">
        <v>0</v>
      </c>
      <c r="AP21">
        <v>124254.25</v>
      </c>
      <c r="AT21" t="str">
        <f>T("9791137601178")</f>
        <v>9791137601178</v>
      </c>
      <c r="AV21" t="str">
        <f>T("판타지 e북 &gt; 현대 판타지")</f>
        <v>판타지 e북 &gt; 현대 판타지</v>
      </c>
    </row>
    <row r="22" spans="1:48" x14ac:dyDescent="0.4">
      <c r="A22">
        <v>2313012817</v>
      </c>
      <c r="B22">
        <v>2313012821</v>
      </c>
      <c r="C22" t="str">
        <f>T("[e북]갓 오브 블랙필드 5권")</f>
        <v>[e북]갓 오브 블랙필드 5권</v>
      </c>
      <c r="D22" t="str">
        <f>T("5")</f>
        <v>5</v>
      </c>
      <c r="E22" t="str">
        <f>T("무장")</f>
        <v>무장</v>
      </c>
      <c r="H22" t="str">
        <f>T("스토리위즈")</f>
        <v>스토리위즈</v>
      </c>
      <c r="I22" t="str">
        <f>T("[e북]갓 오브 블랙필드")</f>
        <v>[e북]갓 오브 블랙필드</v>
      </c>
      <c r="J22">
        <v>3200</v>
      </c>
      <c r="K22">
        <v>38080</v>
      </c>
      <c r="L22">
        <v>12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38080</v>
      </c>
      <c r="AH22">
        <v>12</v>
      </c>
      <c r="AI22">
        <v>0</v>
      </c>
      <c r="AJ22">
        <v>0</v>
      </c>
      <c r="AK22">
        <v>37180</v>
      </c>
      <c r="AL22">
        <v>0</v>
      </c>
      <c r="AM22">
        <v>1080</v>
      </c>
      <c r="AN22">
        <v>-324</v>
      </c>
      <c r="AO22">
        <v>0</v>
      </c>
      <c r="AP22">
        <v>26555.200000000001</v>
      </c>
      <c r="AR22" t="str">
        <f>T("0000000000000")</f>
        <v>0000000000000</v>
      </c>
      <c r="AT22" t="str">
        <f>T("9791137602199")</f>
        <v>9791137602199</v>
      </c>
      <c r="AV22" t="str">
        <f>T("판타지 e북 &gt; 현대 판타지")</f>
        <v>판타지 e북 &gt; 현대 판타지</v>
      </c>
    </row>
    <row r="23" spans="1:48" x14ac:dyDescent="0.4">
      <c r="A23">
        <v>2313009739</v>
      </c>
      <c r="B23">
        <v>2313009740</v>
      </c>
      <c r="C23" t="str">
        <f>T("[e북]컬러 러쉬 2권")</f>
        <v>[e북]컬러 러쉬 2권</v>
      </c>
      <c r="D23" t="str">
        <f>T("2")</f>
        <v>2</v>
      </c>
      <c r="E23" t="str">
        <f>T("세상")</f>
        <v>세상</v>
      </c>
      <c r="H23" t="str">
        <f>T("스토리위즈")</f>
        <v>스토리위즈</v>
      </c>
      <c r="I23" t="str">
        <f>T("[e북]컬러 러쉬")</f>
        <v>[e북]컬러 러쉬</v>
      </c>
      <c r="J23">
        <v>2800</v>
      </c>
      <c r="K23">
        <v>36400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36400</v>
      </c>
      <c r="AH23">
        <v>13</v>
      </c>
      <c r="AI23">
        <v>0</v>
      </c>
      <c r="AJ23">
        <v>0</v>
      </c>
      <c r="AK23">
        <v>36400</v>
      </c>
      <c r="AL23">
        <v>0</v>
      </c>
      <c r="AM23">
        <v>0</v>
      </c>
      <c r="AN23">
        <v>0</v>
      </c>
      <c r="AO23">
        <v>0</v>
      </c>
      <c r="AP23">
        <v>25480</v>
      </c>
      <c r="AR23" t="str">
        <f>T("0000000000000")</f>
        <v>0000000000000</v>
      </c>
      <c r="AT23" t="str">
        <f>T("9791166068188")</f>
        <v>9791166068188</v>
      </c>
      <c r="AV23" t="str">
        <f>T("BL 소설 e북 &gt; 현대물")</f>
        <v>BL 소설 e북 &gt; 현대물</v>
      </c>
    </row>
    <row r="24" spans="1:48" x14ac:dyDescent="0.4">
      <c r="A24">
        <v>2313011938</v>
      </c>
      <c r="B24">
        <v>2313011943</v>
      </c>
      <c r="C24" t="str">
        <f>T("[e북]최종 보스 : 빛을 향해 달리는 그림자 1부 6권")</f>
        <v>[e북]최종 보스 : 빛을 향해 달리는 그림자 1부 6권</v>
      </c>
      <c r="D24" t="str">
        <f>T("6")</f>
        <v>6</v>
      </c>
      <c r="E24" t="str">
        <f>T("무장")</f>
        <v>무장</v>
      </c>
      <c r="H24" t="str">
        <f>T("스토리위즈")</f>
        <v>스토리위즈</v>
      </c>
      <c r="I24" t="str">
        <f>T("[e북]최종 보스 : 빛을 향해 달리는 그림자")</f>
        <v>[e북]최종 보스 : 빛을 향해 달리는 그림자</v>
      </c>
      <c r="J24">
        <v>3200</v>
      </c>
      <c r="K24">
        <v>35200</v>
      </c>
      <c r="L24">
        <v>11</v>
      </c>
      <c r="M24">
        <v>0</v>
      </c>
      <c r="N24">
        <v>128790</v>
      </c>
      <c r="O24">
        <v>177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-1530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163990</v>
      </c>
      <c r="AH24">
        <v>188</v>
      </c>
      <c r="AI24">
        <v>-1530</v>
      </c>
      <c r="AJ24">
        <v>2</v>
      </c>
      <c r="AK24">
        <v>160178</v>
      </c>
      <c r="AL24">
        <v>-1530</v>
      </c>
      <c r="AM24">
        <v>4574.3999999999996</v>
      </c>
      <c r="AN24">
        <v>-1372.32</v>
      </c>
      <c r="AO24">
        <v>0</v>
      </c>
      <c r="AP24">
        <v>113295.05</v>
      </c>
      <c r="AT24" t="str">
        <f>T("9791137601062")</f>
        <v>9791137601062</v>
      </c>
      <c r="AV24" t="str">
        <f>T("판타지 e북 &gt; 현대 판타지")</f>
        <v>판타지 e북 &gt; 현대 판타지</v>
      </c>
    </row>
    <row r="25" spans="1:48" x14ac:dyDescent="0.4">
      <c r="A25">
        <v>2313011938</v>
      </c>
      <c r="B25">
        <v>2313015167</v>
      </c>
      <c r="C25" t="str">
        <f>T("[e북]최종 보스 : 빛을 향해 달리는 그림자 2부 22권")</f>
        <v>[e북]최종 보스 : 빛을 향해 달리는 그림자 2부 22권</v>
      </c>
      <c r="D25" t="str">
        <f>T("22")</f>
        <v>22</v>
      </c>
      <c r="E25" t="str">
        <f>T("무장")</f>
        <v>무장</v>
      </c>
      <c r="H25" t="str">
        <f>T("스토리위즈")</f>
        <v>스토리위즈</v>
      </c>
      <c r="I25" t="str">
        <f>T("[e북]최종 보스 : 빛을 향해 달리는 그림자")</f>
        <v>[e북]최종 보스 : 빛을 향해 달리는 그림자</v>
      </c>
      <c r="J25">
        <v>3200</v>
      </c>
      <c r="K25">
        <v>35200</v>
      </c>
      <c r="L25">
        <v>11</v>
      </c>
      <c r="M25">
        <v>0</v>
      </c>
      <c r="N25">
        <v>138690</v>
      </c>
      <c r="O25">
        <v>188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-1530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173890</v>
      </c>
      <c r="AH25">
        <v>199</v>
      </c>
      <c r="AI25">
        <v>-1530</v>
      </c>
      <c r="AJ25">
        <v>2</v>
      </c>
      <c r="AK25">
        <v>172378</v>
      </c>
      <c r="AL25">
        <v>-1530</v>
      </c>
      <c r="AM25">
        <v>1814.4</v>
      </c>
      <c r="AN25">
        <v>-544.32000000000005</v>
      </c>
      <c r="AO25">
        <v>0</v>
      </c>
      <c r="AP25">
        <v>120482.65</v>
      </c>
      <c r="AT25" t="str">
        <f>T("9791137601178")</f>
        <v>9791137601178</v>
      </c>
      <c r="AV25" t="str">
        <f>T("판타지 e북 &gt; 현대 판타지")</f>
        <v>판타지 e북 &gt; 현대 판타지</v>
      </c>
    </row>
    <row r="26" spans="1:48" x14ac:dyDescent="0.4">
      <c r="A26">
        <v>2313018097</v>
      </c>
      <c r="B26">
        <v>2313018097</v>
      </c>
      <c r="C26" t="str">
        <f>T("[e북]소투스 에스(SOTUS S) 1권")</f>
        <v>[e북]소투스 에스(SOTUS S) 1권</v>
      </c>
      <c r="D26" t="str">
        <f>T("1")</f>
        <v>1</v>
      </c>
      <c r="E26" t="str">
        <f>T("BitterSweet")</f>
        <v>BitterSweet</v>
      </c>
      <c r="F26" t="str">
        <f>T("이범근")</f>
        <v>이범근</v>
      </c>
      <c r="H26" t="str">
        <f>T("도서출판 태랑")</f>
        <v>도서출판 태랑</v>
      </c>
      <c r="I26" t="str">
        <f>T("[e북]소투스 에스(SOTUS S)")</f>
        <v>[e북]소투스 에스(SOTUS S)</v>
      </c>
      <c r="J26">
        <v>3700</v>
      </c>
      <c r="K26">
        <v>33300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-3700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33300</v>
      </c>
      <c r="AH26">
        <v>9</v>
      </c>
      <c r="AI26">
        <v>-3700</v>
      </c>
      <c r="AJ26">
        <v>1</v>
      </c>
      <c r="AK26">
        <v>33300</v>
      </c>
      <c r="AL26">
        <v>-3700</v>
      </c>
      <c r="AM26">
        <v>0</v>
      </c>
      <c r="AN26">
        <v>0</v>
      </c>
      <c r="AO26">
        <v>0</v>
      </c>
      <c r="AP26">
        <v>20720</v>
      </c>
      <c r="AT26" t="str">
        <f>T("9791164375066")</f>
        <v>9791164375066</v>
      </c>
      <c r="AV26" t="str">
        <f>T("BL 소설 e북 &gt; 현대물")</f>
        <v>BL 소설 e북 &gt; 현대물</v>
      </c>
    </row>
    <row r="27" spans="1:48" x14ac:dyDescent="0.4">
      <c r="A27">
        <v>2313017014</v>
      </c>
      <c r="B27">
        <v>2313017013</v>
      </c>
      <c r="C27" t="str">
        <f>T("[e북]개정판 | 야쿠자가 사랑을 한다면 2 2권 (완결)")</f>
        <v>[e북]개정판 | 야쿠자가 사랑을 한다면 2 2권 (완결)</v>
      </c>
      <c r="D27" t="str">
        <f>T("2")</f>
        <v>2</v>
      </c>
      <c r="E27" t="str">
        <f>T("모리미")</f>
        <v>모리미</v>
      </c>
      <c r="H27" t="str">
        <f>T("도서출판 태랑")</f>
        <v>도서출판 태랑</v>
      </c>
      <c r="I27" t="str">
        <f>T("[e북]개정판 | 야쿠자가 사랑을 한다면 2")</f>
        <v>[e북]개정판 | 야쿠자가 사랑을 한다면 2</v>
      </c>
      <c r="J27">
        <v>3000</v>
      </c>
      <c r="K27">
        <v>33000</v>
      </c>
      <c r="L27">
        <v>11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33000</v>
      </c>
      <c r="AH27">
        <v>11</v>
      </c>
      <c r="AI27">
        <v>0</v>
      </c>
      <c r="AJ27">
        <v>0</v>
      </c>
      <c r="AK27">
        <v>28033</v>
      </c>
      <c r="AL27">
        <v>0</v>
      </c>
      <c r="AM27">
        <v>5960.4</v>
      </c>
      <c r="AN27">
        <v>-1788.12</v>
      </c>
      <c r="AO27">
        <v>0</v>
      </c>
      <c r="AP27">
        <v>22543.7</v>
      </c>
      <c r="AT27" t="str">
        <f>T("9791164372119")</f>
        <v>9791164372119</v>
      </c>
      <c r="AV27" t="str">
        <f>T("BL 소설 e북 &gt; 현대물")</f>
        <v>BL 소설 e북 &gt; 현대물</v>
      </c>
    </row>
    <row r="28" spans="1:48" x14ac:dyDescent="0.4">
      <c r="A28">
        <v>2313006989</v>
      </c>
      <c r="B28">
        <v>2313007001</v>
      </c>
      <c r="C28" t="str">
        <f>T("[e북]로드 오브 머니 13권")</f>
        <v>[e북]로드 오브 머니 13권</v>
      </c>
      <c r="D28" t="str">
        <f>T("13")</f>
        <v>13</v>
      </c>
      <c r="E28" t="str">
        <f>T("무장")</f>
        <v>무장</v>
      </c>
      <c r="H28" t="str">
        <f t="shared" ref="H28:H36" si="1">T("스토리위즈")</f>
        <v>스토리위즈</v>
      </c>
      <c r="I28" t="str">
        <f>T("[e북]로드 오브 머니")</f>
        <v>[e북]로드 오브 머니</v>
      </c>
      <c r="J28">
        <v>3200</v>
      </c>
      <c r="K28">
        <v>32000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32000</v>
      </c>
      <c r="AH28">
        <v>10</v>
      </c>
      <c r="AI28">
        <v>0</v>
      </c>
      <c r="AJ28">
        <v>0</v>
      </c>
      <c r="AK28">
        <v>32000</v>
      </c>
      <c r="AL28">
        <v>0</v>
      </c>
      <c r="AM28">
        <v>0</v>
      </c>
      <c r="AN28">
        <v>0</v>
      </c>
      <c r="AO28">
        <v>0</v>
      </c>
      <c r="AP28">
        <v>22400</v>
      </c>
      <c r="AT28" t="str">
        <f>T("9791188630226")</f>
        <v>9791188630226</v>
      </c>
      <c r="AV28" t="str">
        <f>T("판타지 e북 &gt; 현대 판타지")</f>
        <v>판타지 e북 &gt; 현대 판타지</v>
      </c>
    </row>
    <row r="29" spans="1:48" x14ac:dyDescent="0.4">
      <c r="A29">
        <v>2313006989</v>
      </c>
      <c r="B29">
        <v>2313007002</v>
      </c>
      <c r="C29" t="str">
        <f>T("[e북]로드 오브 머니 14권")</f>
        <v>[e북]로드 오브 머니 14권</v>
      </c>
      <c r="D29" t="str">
        <f>T("14")</f>
        <v>14</v>
      </c>
      <c r="E29" t="str">
        <f>T("무장")</f>
        <v>무장</v>
      </c>
      <c r="H29" t="str">
        <f t="shared" si="1"/>
        <v>스토리위즈</v>
      </c>
      <c r="I29" t="str">
        <f>T("[e북]로드 오브 머니")</f>
        <v>[e북]로드 오브 머니</v>
      </c>
      <c r="J29">
        <v>3200</v>
      </c>
      <c r="K29">
        <v>32000</v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32000</v>
      </c>
      <c r="AH29">
        <v>10</v>
      </c>
      <c r="AI29">
        <v>0</v>
      </c>
      <c r="AJ29">
        <v>0</v>
      </c>
      <c r="AK29">
        <v>32000</v>
      </c>
      <c r="AL29">
        <v>0</v>
      </c>
      <c r="AM29">
        <v>0</v>
      </c>
      <c r="AN29">
        <v>0</v>
      </c>
      <c r="AO29">
        <v>0</v>
      </c>
      <c r="AP29">
        <v>22400</v>
      </c>
      <c r="AT29" t="str">
        <f>T("9791188630233")</f>
        <v>9791188630233</v>
      </c>
      <c r="AV29" t="str">
        <f>T("판타지 e북 &gt; 현대 판타지")</f>
        <v>판타지 e북 &gt; 현대 판타지</v>
      </c>
    </row>
    <row r="30" spans="1:48" x14ac:dyDescent="0.4">
      <c r="A30">
        <v>2313006989</v>
      </c>
      <c r="B30">
        <v>2313007003</v>
      </c>
      <c r="C30" t="str">
        <f>T("[e북]로드 오브 머니 15권 (완결)")</f>
        <v>[e북]로드 오브 머니 15권 (완결)</v>
      </c>
      <c r="D30" t="str">
        <f>T("15")</f>
        <v>15</v>
      </c>
      <c r="E30" t="str">
        <f>T("무장")</f>
        <v>무장</v>
      </c>
      <c r="H30" t="str">
        <f t="shared" si="1"/>
        <v>스토리위즈</v>
      </c>
      <c r="I30" t="str">
        <f>T("[e북]로드 오브 머니")</f>
        <v>[e북]로드 오브 머니</v>
      </c>
      <c r="J30">
        <v>3200</v>
      </c>
      <c r="K30">
        <v>32000</v>
      </c>
      <c r="L30">
        <v>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32000</v>
      </c>
      <c r="AH30">
        <v>10</v>
      </c>
      <c r="AI30">
        <v>0</v>
      </c>
      <c r="AJ30">
        <v>0</v>
      </c>
      <c r="AK30">
        <v>32000</v>
      </c>
      <c r="AL30">
        <v>0</v>
      </c>
      <c r="AM30">
        <v>0</v>
      </c>
      <c r="AN30">
        <v>0</v>
      </c>
      <c r="AO30">
        <v>0</v>
      </c>
      <c r="AP30">
        <v>22400</v>
      </c>
      <c r="AT30" t="str">
        <f>T("9791188630240")</f>
        <v>9791188630240</v>
      </c>
      <c r="AV30" t="str">
        <f>T("판타지 e북 &gt; 현대 판타지")</f>
        <v>판타지 e북 &gt; 현대 판타지</v>
      </c>
    </row>
    <row r="31" spans="1:48" x14ac:dyDescent="0.4">
      <c r="A31">
        <v>2313011938</v>
      </c>
      <c r="B31">
        <v>2313011944</v>
      </c>
      <c r="C31" t="str">
        <f>T("[e북]최종 보스 : 빛을 향해 달리는 그림자 1부 7권")</f>
        <v>[e북]최종 보스 : 빛을 향해 달리는 그림자 1부 7권</v>
      </c>
      <c r="D31" t="str">
        <f>T("7")</f>
        <v>7</v>
      </c>
      <c r="E31" t="str">
        <f>T("무장")</f>
        <v>무장</v>
      </c>
      <c r="H31" t="str">
        <f t="shared" si="1"/>
        <v>스토리위즈</v>
      </c>
      <c r="I31" t="str">
        <f>T("[e북]최종 보스 : 빛을 향해 달리는 그림자")</f>
        <v>[e북]최종 보스 : 빛을 향해 달리는 그림자</v>
      </c>
      <c r="J31">
        <v>3200</v>
      </c>
      <c r="K31">
        <v>32000</v>
      </c>
      <c r="L31">
        <v>10</v>
      </c>
      <c r="M31">
        <v>0</v>
      </c>
      <c r="N31">
        <v>126090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-630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158090</v>
      </c>
      <c r="AH31">
        <v>184</v>
      </c>
      <c r="AI31">
        <v>-630</v>
      </c>
      <c r="AJ31">
        <v>1</v>
      </c>
      <c r="AK31">
        <v>154278</v>
      </c>
      <c r="AL31">
        <v>-630</v>
      </c>
      <c r="AM31">
        <v>4574.3999999999996</v>
      </c>
      <c r="AN31">
        <v>-1372.32</v>
      </c>
      <c r="AO31">
        <v>0</v>
      </c>
      <c r="AP31">
        <v>109795.05</v>
      </c>
      <c r="AT31" t="str">
        <f>T("9791137601079")</f>
        <v>9791137601079</v>
      </c>
      <c r="AV31" t="str">
        <f>T("판타지 e북 &gt; 현대 판타지")</f>
        <v>판타지 e북 &gt; 현대 판타지</v>
      </c>
    </row>
    <row r="32" spans="1:48" x14ac:dyDescent="0.4">
      <c r="A32">
        <v>2313018089</v>
      </c>
      <c r="B32">
        <v>2313018091</v>
      </c>
      <c r="C32" t="str">
        <f>T("[e북]신들의 알바나라 3권")</f>
        <v>[e북]신들의 알바나라 3권</v>
      </c>
      <c r="D32" t="str">
        <f>T("3")</f>
        <v>3</v>
      </c>
      <c r="E32" t="str">
        <f>T("갓띵작")</f>
        <v>갓띵작</v>
      </c>
      <c r="H32" t="str">
        <f t="shared" si="1"/>
        <v>스토리위즈</v>
      </c>
      <c r="I32" t="str">
        <f>T("[e북]신들의 알바나라")</f>
        <v>[e북]신들의 알바나라</v>
      </c>
      <c r="J32">
        <v>3200</v>
      </c>
      <c r="K32">
        <v>32000</v>
      </c>
      <c r="L32">
        <v>10</v>
      </c>
      <c r="M32">
        <v>0</v>
      </c>
      <c r="N32">
        <v>43290</v>
      </c>
      <c r="O32">
        <v>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75290</v>
      </c>
      <c r="AH32">
        <v>61</v>
      </c>
      <c r="AI32">
        <v>0</v>
      </c>
      <c r="AJ32">
        <v>0</v>
      </c>
      <c r="AK32">
        <v>75290</v>
      </c>
      <c r="AL32">
        <v>0</v>
      </c>
      <c r="AM32">
        <v>0</v>
      </c>
      <c r="AN32">
        <v>0</v>
      </c>
      <c r="AO32">
        <v>0</v>
      </c>
      <c r="AP32">
        <v>52703</v>
      </c>
      <c r="AT32" t="str">
        <f>T("9791137604513")</f>
        <v>9791137604513</v>
      </c>
      <c r="AV32" t="str">
        <f>T("판타지 e북 &gt; 퓨전 판타지")</f>
        <v>판타지 e북 &gt; 퓨전 판타지</v>
      </c>
    </row>
    <row r="33" spans="1:48" x14ac:dyDescent="0.4">
      <c r="A33">
        <v>2313012817</v>
      </c>
      <c r="B33">
        <v>2313012822</v>
      </c>
      <c r="C33" t="str">
        <f>T("[e북]갓 오브 블랙필드 6권")</f>
        <v>[e북]갓 오브 블랙필드 6권</v>
      </c>
      <c r="D33" t="str">
        <f>T("6")</f>
        <v>6</v>
      </c>
      <c r="E33" t="str">
        <f>T("무장")</f>
        <v>무장</v>
      </c>
      <c r="H33" t="str">
        <f t="shared" si="1"/>
        <v>스토리위즈</v>
      </c>
      <c r="I33" t="str">
        <f>T("[e북]갓 오브 블랙필드")</f>
        <v>[e북]갓 오브 블랙필드</v>
      </c>
      <c r="J33">
        <v>3200</v>
      </c>
      <c r="K33">
        <v>31680</v>
      </c>
      <c r="L33">
        <v>10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31680</v>
      </c>
      <c r="AH33">
        <v>10</v>
      </c>
      <c r="AI33">
        <v>0</v>
      </c>
      <c r="AJ33">
        <v>0</v>
      </c>
      <c r="AK33">
        <v>31680</v>
      </c>
      <c r="AL33">
        <v>0</v>
      </c>
      <c r="AM33">
        <v>0</v>
      </c>
      <c r="AN33">
        <v>0</v>
      </c>
      <c r="AO33">
        <v>0</v>
      </c>
      <c r="AP33">
        <v>22176</v>
      </c>
      <c r="AR33" t="str">
        <f>T("0000000000000")</f>
        <v>0000000000000</v>
      </c>
      <c r="AT33" t="str">
        <f>T("9791137602205")</f>
        <v>9791137602205</v>
      </c>
      <c r="AV33" t="str">
        <f>T("판타지 e북 &gt; 현대 판타지")</f>
        <v>판타지 e북 &gt; 현대 판타지</v>
      </c>
    </row>
    <row r="34" spans="1:48" x14ac:dyDescent="0.4">
      <c r="A34">
        <v>2313012817</v>
      </c>
      <c r="B34">
        <v>2313012825</v>
      </c>
      <c r="C34" t="str">
        <f>T("[e북]갓 오브 블랙필드 9권")</f>
        <v>[e북]갓 오브 블랙필드 9권</v>
      </c>
      <c r="D34" t="str">
        <f>T("9")</f>
        <v>9</v>
      </c>
      <c r="E34" t="str">
        <f>T("무장")</f>
        <v>무장</v>
      </c>
      <c r="H34" t="str">
        <f t="shared" si="1"/>
        <v>스토리위즈</v>
      </c>
      <c r="I34" t="str">
        <f>T("[e북]갓 오브 블랙필드")</f>
        <v>[e북]갓 오브 블랙필드</v>
      </c>
      <c r="J34">
        <v>3200</v>
      </c>
      <c r="K34">
        <v>31680</v>
      </c>
      <c r="L34">
        <v>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31680</v>
      </c>
      <c r="AH34">
        <v>10</v>
      </c>
      <c r="AI34">
        <v>0</v>
      </c>
      <c r="AJ34">
        <v>0</v>
      </c>
      <c r="AK34">
        <v>31680</v>
      </c>
      <c r="AL34">
        <v>0</v>
      </c>
      <c r="AM34">
        <v>0</v>
      </c>
      <c r="AN34">
        <v>0</v>
      </c>
      <c r="AO34">
        <v>0</v>
      </c>
      <c r="AP34">
        <v>22176</v>
      </c>
      <c r="AR34" t="str">
        <f>T("0000000000000")</f>
        <v>0000000000000</v>
      </c>
      <c r="AT34" t="str">
        <f>T("9791137602236")</f>
        <v>9791137602236</v>
      </c>
      <c r="AV34" t="str">
        <f>T("판타지 e북 &gt; 현대 판타지")</f>
        <v>판타지 e북 &gt; 현대 판타지</v>
      </c>
    </row>
    <row r="35" spans="1:48" x14ac:dyDescent="0.4">
      <c r="A35">
        <v>2313007027</v>
      </c>
      <c r="B35">
        <v>2313007029</v>
      </c>
      <c r="C35" t="str">
        <f>T("[e북]레이디 스칼렛 3권")</f>
        <v>[e북]레이디 스칼렛 3권</v>
      </c>
      <c r="D35" t="str">
        <f>T("3")</f>
        <v>3</v>
      </c>
      <c r="E35" t="str">
        <f>T("불고기자리")</f>
        <v>불고기자리</v>
      </c>
      <c r="H35" t="str">
        <f t="shared" si="1"/>
        <v>스토리위즈</v>
      </c>
      <c r="I35" t="str">
        <f>T("[e북]레이디 스칼렛")</f>
        <v>[e북]레이디 스칼렛</v>
      </c>
      <c r="J35">
        <v>3500</v>
      </c>
      <c r="K35">
        <v>31500</v>
      </c>
      <c r="L35">
        <v>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31500</v>
      </c>
      <c r="AH35">
        <v>9</v>
      </c>
      <c r="AI35">
        <v>0</v>
      </c>
      <c r="AJ35">
        <v>0</v>
      </c>
      <c r="AK35">
        <v>31500</v>
      </c>
      <c r="AL35">
        <v>0</v>
      </c>
      <c r="AM35">
        <v>0</v>
      </c>
      <c r="AN35">
        <v>0</v>
      </c>
      <c r="AO35">
        <v>0</v>
      </c>
      <c r="AP35">
        <v>22050</v>
      </c>
      <c r="AT35" t="str">
        <f>T("9791159288982")</f>
        <v>9791159288982</v>
      </c>
      <c r="AV35" t="str">
        <f>T("로판 e북 &gt; 서양풍 로판")</f>
        <v>로판 e북 &gt; 서양풍 로판</v>
      </c>
    </row>
    <row r="36" spans="1:48" x14ac:dyDescent="0.4">
      <c r="A36">
        <v>2313007027</v>
      </c>
      <c r="B36">
        <v>2313007030</v>
      </c>
      <c r="C36" t="str">
        <f>T("[e북]레이디 스칼렛 4권")</f>
        <v>[e북]레이디 스칼렛 4권</v>
      </c>
      <c r="D36" t="str">
        <f>T("4")</f>
        <v>4</v>
      </c>
      <c r="E36" t="str">
        <f>T("불고기자리")</f>
        <v>불고기자리</v>
      </c>
      <c r="H36" t="str">
        <f t="shared" si="1"/>
        <v>스토리위즈</v>
      </c>
      <c r="I36" t="str">
        <f>T("[e북]레이디 스칼렛")</f>
        <v>[e북]레이디 스칼렛</v>
      </c>
      <c r="J36">
        <v>3500</v>
      </c>
      <c r="K36">
        <v>31500</v>
      </c>
      <c r="L36">
        <v>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31500</v>
      </c>
      <c r="AH36">
        <v>9</v>
      </c>
      <c r="AI36">
        <v>0</v>
      </c>
      <c r="AJ36">
        <v>0</v>
      </c>
      <c r="AK36">
        <v>31500</v>
      </c>
      <c r="AL36">
        <v>0</v>
      </c>
      <c r="AM36">
        <v>0</v>
      </c>
      <c r="AN36">
        <v>0</v>
      </c>
      <c r="AO36">
        <v>0</v>
      </c>
      <c r="AP36">
        <v>22050</v>
      </c>
      <c r="AT36" t="str">
        <f>T("9791159288999")</f>
        <v>9791159288999</v>
      </c>
      <c r="AV36" t="str">
        <f>T("로판 e북 &gt; 서양풍 로판")</f>
        <v>로판 e북 &gt; 서양풍 로판</v>
      </c>
    </row>
    <row r="37" spans="1:48" x14ac:dyDescent="0.4">
      <c r="A37">
        <v>2313017014</v>
      </c>
      <c r="B37">
        <v>2313017014</v>
      </c>
      <c r="C37" t="str">
        <f>T("[e북]개정판 | 야쿠자가 사랑을 한다면 2 1권")</f>
        <v>[e북]개정판 | 야쿠자가 사랑을 한다면 2 1권</v>
      </c>
      <c r="D37" t="str">
        <f>T("1")</f>
        <v>1</v>
      </c>
      <c r="E37" t="str">
        <f>T("모리미")</f>
        <v>모리미</v>
      </c>
      <c r="H37" t="str">
        <f>T("도서출판 태랑")</f>
        <v>도서출판 태랑</v>
      </c>
      <c r="I37" t="str">
        <f>T("[e북]개정판 | 야쿠자가 사랑을 한다면 2")</f>
        <v>[e북]개정판 | 야쿠자가 사랑을 한다면 2</v>
      </c>
      <c r="J37">
        <v>3000</v>
      </c>
      <c r="K37">
        <v>30000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30000</v>
      </c>
      <c r="AH37">
        <v>10</v>
      </c>
      <c r="AI37">
        <v>0</v>
      </c>
      <c r="AJ37">
        <v>0</v>
      </c>
      <c r="AK37">
        <v>25032</v>
      </c>
      <c r="AL37">
        <v>0</v>
      </c>
      <c r="AM37">
        <v>5961.6</v>
      </c>
      <c r="AN37">
        <v>-1788.48</v>
      </c>
      <c r="AO37">
        <v>0</v>
      </c>
      <c r="AP37">
        <v>20443.580000000002</v>
      </c>
      <c r="AT37" t="str">
        <f>T("9791164372102")</f>
        <v>9791164372102</v>
      </c>
      <c r="AV37" t="str">
        <f>T("BL 소설 e북 &gt; 현대물")</f>
        <v>BL 소설 e북 &gt; 현대물</v>
      </c>
    </row>
    <row r="38" spans="1:48" x14ac:dyDescent="0.4">
      <c r="A38">
        <v>2313018097</v>
      </c>
      <c r="B38">
        <v>2313018098</v>
      </c>
      <c r="C38" t="str">
        <f>T("[e북]소투스 에스(SOTUS S) 2권 (완결)")</f>
        <v>[e북]소투스 에스(SOTUS S) 2권 (완결)</v>
      </c>
      <c r="D38" t="str">
        <f>T("2")</f>
        <v>2</v>
      </c>
      <c r="E38" t="str">
        <f>T("BitterSweet")</f>
        <v>BitterSweet</v>
      </c>
      <c r="F38" t="str">
        <f>T("이범근")</f>
        <v>이범근</v>
      </c>
      <c r="H38" t="str">
        <f>T("도서출판 태랑")</f>
        <v>도서출판 태랑</v>
      </c>
      <c r="I38" t="str">
        <f>T("[e북]소투스 에스(SOTUS S)")</f>
        <v>[e북]소투스 에스(SOTUS S)</v>
      </c>
      <c r="J38">
        <v>3700</v>
      </c>
      <c r="K38">
        <v>29600</v>
      </c>
      <c r="L38">
        <v>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-3700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29600</v>
      </c>
      <c r="AH38">
        <v>8</v>
      </c>
      <c r="AI38">
        <v>-3700</v>
      </c>
      <c r="AJ38">
        <v>1</v>
      </c>
      <c r="AK38">
        <v>29600</v>
      </c>
      <c r="AL38">
        <v>-3700</v>
      </c>
      <c r="AM38">
        <v>0</v>
      </c>
      <c r="AN38">
        <v>0</v>
      </c>
      <c r="AO38">
        <v>0</v>
      </c>
      <c r="AP38">
        <v>18130</v>
      </c>
      <c r="AT38" t="str">
        <f>T("9791164375073")</f>
        <v>9791164375073</v>
      </c>
      <c r="AV38" t="str">
        <f>T("BL 소설 e북 &gt; 현대물")</f>
        <v>BL 소설 e북 &gt; 현대물</v>
      </c>
    </row>
    <row r="39" spans="1:48" x14ac:dyDescent="0.4">
      <c r="A39">
        <v>2313006989</v>
      </c>
      <c r="B39">
        <v>2313006999</v>
      </c>
      <c r="C39" t="str">
        <f>T("[e북]로드 오브 머니 11권")</f>
        <v>[e북]로드 오브 머니 11권</v>
      </c>
      <c r="D39" t="str">
        <f>T("11")</f>
        <v>11</v>
      </c>
      <c r="E39" t="str">
        <f t="shared" ref="E39:E45" si="2">T("무장")</f>
        <v>무장</v>
      </c>
      <c r="H39" t="str">
        <f t="shared" ref="H39:H45" si="3">T("스토리위즈")</f>
        <v>스토리위즈</v>
      </c>
      <c r="I39" t="str">
        <f>T("[e북]로드 오브 머니")</f>
        <v>[e북]로드 오브 머니</v>
      </c>
      <c r="J39">
        <v>3200</v>
      </c>
      <c r="K39">
        <v>28800</v>
      </c>
      <c r="L39">
        <v>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28800</v>
      </c>
      <c r="AH39">
        <v>9</v>
      </c>
      <c r="AI39">
        <v>0</v>
      </c>
      <c r="AJ39">
        <v>0</v>
      </c>
      <c r="AK39">
        <v>28800</v>
      </c>
      <c r="AL39">
        <v>0</v>
      </c>
      <c r="AM39">
        <v>0</v>
      </c>
      <c r="AN39">
        <v>0</v>
      </c>
      <c r="AO39">
        <v>0</v>
      </c>
      <c r="AP39">
        <v>20160</v>
      </c>
      <c r="AT39" t="str">
        <f>T("9791188630202")</f>
        <v>9791188630202</v>
      </c>
      <c r="AV39" t="str">
        <f t="shared" ref="AV39:AV45" si="4">T("판타지 e북 &gt; 현대 판타지")</f>
        <v>판타지 e북 &gt; 현대 판타지</v>
      </c>
    </row>
    <row r="40" spans="1:48" x14ac:dyDescent="0.4">
      <c r="A40">
        <v>2313006989</v>
      </c>
      <c r="B40">
        <v>2313007000</v>
      </c>
      <c r="C40" t="str">
        <f>T("[e북]로드 오브 머니 12권")</f>
        <v>[e북]로드 오브 머니 12권</v>
      </c>
      <c r="D40" t="str">
        <f>T("12")</f>
        <v>12</v>
      </c>
      <c r="E40" t="str">
        <f t="shared" si="2"/>
        <v>무장</v>
      </c>
      <c r="H40" t="str">
        <f t="shared" si="3"/>
        <v>스토리위즈</v>
      </c>
      <c r="I40" t="str">
        <f>T("[e북]로드 오브 머니")</f>
        <v>[e북]로드 오브 머니</v>
      </c>
      <c r="J40">
        <v>3200</v>
      </c>
      <c r="K40">
        <v>28800</v>
      </c>
      <c r="L40">
        <v>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28800</v>
      </c>
      <c r="AH40">
        <v>9</v>
      </c>
      <c r="AI40">
        <v>0</v>
      </c>
      <c r="AJ40">
        <v>0</v>
      </c>
      <c r="AK40">
        <v>28800</v>
      </c>
      <c r="AL40">
        <v>0</v>
      </c>
      <c r="AM40">
        <v>0</v>
      </c>
      <c r="AN40">
        <v>0</v>
      </c>
      <c r="AO40">
        <v>0</v>
      </c>
      <c r="AP40">
        <v>20160</v>
      </c>
      <c r="AT40" t="str">
        <f>T("9791188630219")</f>
        <v>9791188630219</v>
      </c>
      <c r="AV40" t="str">
        <f t="shared" si="4"/>
        <v>판타지 e북 &gt; 현대 판타지</v>
      </c>
    </row>
    <row r="41" spans="1:48" x14ac:dyDescent="0.4">
      <c r="A41">
        <v>2313011938</v>
      </c>
      <c r="B41">
        <v>2313011946</v>
      </c>
      <c r="C41" t="str">
        <f>T("[e북]최종 보스 : 빛을 향해 달리는 그림자 1부 9권")</f>
        <v>[e북]최종 보스 : 빛을 향해 달리는 그림자 1부 9권</v>
      </c>
      <c r="D41" t="str">
        <f>T("9")</f>
        <v>9</v>
      </c>
      <c r="E41" t="str">
        <f t="shared" si="2"/>
        <v>무장</v>
      </c>
      <c r="H41" t="str">
        <f t="shared" si="3"/>
        <v>스토리위즈</v>
      </c>
      <c r="I41" t="str">
        <f>T("[e북]최종 보스 : 빛을 향해 달리는 그림자")</f>
        <v>[e북]최종 보스 : 빛을 향해 달리는 그림자</v>
      </c>
      <c r="J41">
        <v>3200</v>
      </c>
      <c r="K41">
        <v>28800</v>
      </c>
      <c r="L41">
        <v>9</v>
      </c>
      <c r="M41">
        <v>0</v>
      </c>
      <c r="N41">
        <v>116190</v>
      </c>
      <c r="O41">
        <v>163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-630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144990</v>
      </c>
      <c r="AH41">
        <v>172</v>
      </c>
      <c r="AI41">
        <v>-630</v>
      </c>
      <c r="AJ41">
        <v>1</v>
      </c>
      <c r="AK41">
        <v>142978</v>
      </c>
      <c r="AL41">
        <v>-630</v>
      </c>
      <c r="AM41">
        <v>2414.4</v>
      </c>
      <c r="AN41">
        <v>-724.32</v>
      </c>
      <c r="AO41">
        <v>0</v>
      </c>
      <c r="AP41">
        <v>100826.65</v>
      </c>
      <c r="AT41" t="str">
        <f>T("9791137601093")</f>
        <v>9791137601093</v>
      </c>
      <c r="AV41" t="str">
        <f t="shared" si="4"/>
        <v>판타지 e북 &gt; 현대 판타지</v>
      </c>
    </row>
    <row r="42" spans="1:48" x14ac:dyDescent="0.4">
      <c r="A42">
        <v>2313011938</v>
      </c>
      <c r="B42">
        <v>2313015165</v>
      </c>
      <c r="C42" t="str">
        <f>T("[e북]최종 보스 : 빛을 향해 달리는 그림자 2부 20권")</f>
        <v>[e북]최종 보스 : 빛을 향해 달리는 그림자 2부 20권</v>
      </c>
      <c r="D42" t="str">
        <f>T("20")</f>
        <v>20</v>
      </c>
      <c r="E42" t="str">
        <f t="shared" si="2"/>
        <v>무장</v>
      </c>
      <c r="H42" t="str">
        <f t="shared" si="3"/>
        <v>스토리위즈</v>
      </c>
      <c r="I42" t="str">
        <f>T("[e북]최종 보스 : 빛을 향해 달리는 그림자")</f>
        <v>[e북]최종 보스 : 빛을 향해 달리는 그림자</v>
      </c>
      <c r="J42">
        <v>3200</v>
      </c>
      <c r="K42">
        <v>28800</v>
      </c>
      <c r="L42">
        <v>9</v>
      </c>
      <c r="M42">
        <v>0</v>
      </c>
      <c r="N42">
        <v>143190</v>
      </c>
      <c r="O42">
        <v>193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-1530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171990</v>
      </c>
      <c r="AH42">
        <v>202</v>
      </c>
      <c r="AI42">
        <v>-1530</v>
      </c>
      <c r="AJ42">
        <v>2</v>
      </c>
      <c r="AK42">
        <v>167278</v>
      </c>
      <c r="AL42">
        <v>-1530</v>
      </c>
      <c r="AM42">
        <v>5654.4</v>
      </c>
      <c r="AN42">
        <v>-1696.32</v>
      </c>
      <c r="AO42">
        <v>0</v>
      </c>
      <c r="AP42">
        <v>118794.25</v>
      </c>
      <c r="AT42" t="str">
        <f>T("9791137601178")</f>
        <v>9791137601178</v>
      </c>
      <c r="AV42" t="str">
        <f t="shared" si="4"/>
        <v>판타지 e북 &gt; 현대 판타지</v>
      </c>
    </row>
    <row r="43" spans="1:48" x14ac:dyDescent="0.4">
      <c r="A43">
        <v>2313011938</v>
      </c>
      <c r="B43">
        <v>2313015168</v>
      </c>
      <c r="C43" t="str">
        <f>T("[e북]최종 보스 : 빛을 향해 달리는 그림자 2부 23권")</f>
        <v>[e북]최종 보스 : 빛을 향해 달리는 그림자 2부 23권</v>
      </c>
      <c r="D43" t="str">
        <f>T("23")</f>
        <v>23</v>
      </c>
      <c r="E43" t="str">
        <f t="shared" si="2"/>
        <v>무장</v>
      </c>
      <c r="H43" t="str">
        <f t="shared" si="3"/>
        <v>스토리위즈</v>
      </c>
      <c r="I43" t="str">
        <f>T("[e북]최종 보스 : 빛을 향해 달리는 그림자")</f>
        <v>[e북]최종 보스 : 빛을 향해 달리는 그림자</v>
      </c>
      <c r="J43">
        <v>3200</v>
      </c>
      <c r="K43">
        <v>28800</v>
      </c>
      <c r="L43">
        <v>9</v>
      </c>
      <c r="M43">
        <v>0</v>
      </c>
      <c r="N43">
        <v>134190</v>
      </c>
      <c r="O43">
        <v>183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-1530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162990</v>
      </c>
      <c r="AH43">
        <v>192</v>
      </c>
      <c r="AI43">
        <v>-1530</v>
      </c>
      <c r="AJ43">
        <v>2</v>
      </c>
      <c r="AK43">
        <v>161478</v>
      </c>
      <c r="AL43">
        <v>-1530</v>
      </c>
      <c r="AM43">
        <v>1814.4</v>
      </c>
      <c r="AN43">
        <v>-544.32000000000005</v>
      </c>
      <c r="AO43">
        <v>0</v>
      </c>
      <c r="AP43">
        <v>112852.65</v>
      </c>
      <c r="AT43" t="str">
        <f>T("9791137601178")</f>
        <v>9791137601178</v>
      </c>
      <c r="AV43" t="str">
        <f t="shared" si="4"/>
        <v>판타지 e북 &gt; 현대 판타지</v>
      </c>
    </row>
    <row r="44" spans="1:48" x14ac:dyDescent="0.4">
      <c r="A44">
        <v>2313011938</v>
      </c>
      <c r="B44">
        <v>2313015169</v>
      </c>
      <c r="C44" t="str">
        <f>T("[e북]최종 보스 : 빛을 향해 달리는 그림자 2부 24권")</f>
        <v>[e북]최종 보스 : 빛을 향해 달리는 그림자 2부 24권</v>
      </c>
      <c r="D44" t="str">
        <f>T("24")</f>
        <v>24</v>
      </c>
      <c r="E44" t="str">
        <f t="shared" si="2"/>
        <v>무장</v>
      </c>
      <c r="H44" t="str">
        <f t="shared" si="3"/>
        <v>스토리위즈</v>
      </c>
      <c r="I44" t="str">
        <f>T("[e북]최종 보스 : 빛을 향해 달리는 그림자")</f>
        <v>[e북]최종 보스 : 빛을 향해 달리는 그림자</v>
      </c>
      <c r="J44">
        <v>3200</v>
      </c>
      <c r="K44">
        <v>28800</v>
      </c>
      <c r="L44">
        <v>9</v>
      </c>
      <c r="M44">
        <v>0</v>
      </c>
      <c r="N44">
        <v>134190</v>
      </c>
      <c r="O44">
        <v>183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-1530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162990</v>
      </c>
      <c r="AH44">
        <v>192</v>
      </c>
      <c r="AI44">
        <v>-1530</v>
      </c>
      <c r="AJ44">
        <v>2</v>
      </c>
      <c r="AK44">
        <v>161479</v>
      </c>
      <c r="AL44">
        <v>-1530</v>
      </c>
      <c r="AM44">
        <v>1813.2</v>
      </c>
      <c r="AN44">
        <v>-543.96</v>
      </c>
      <c r="AO44">
        <v>0</v>
      </c>
      <c r="AP44">
        <v>112852.77</v>
      </c>
      <c r="AT44" t="str">
        <f>T("9791137601178")</f>
        <v>9791137601178</v>
      </c>
      <c r="AV44" t="str">
        <f t="shared" si="4"/>
        <v>판타지 e북 &gt; 현대 판타지</v>
      </c>
    </row>
    <row r="45" spans="1:48" x14ac:dyDescent="0.4">
      <c r="A45">
        <v>2313011938</v>
      </c>
      <c r="B45">
        <v>2313015170</v>
      </c>
      <c r="C45" t="str">
        <f>T("[e북]최종 보스 : 빛을 향해 달리는 그림자 2부 25권")</f>
        <v>[e북]최종 보스 : 빛을 향해 달리는 그림자 2부 25권</v>
      </c>
      <c r="D45" t="str">
        <f>T("25")</f>
        <v>25</v>
      </c>
      <c r="E45" t="str">
        <f t="shared" si="2"/>
        <v>무장</v>
      </c>
      <c r="H45" t="str">
        <f t="shared" si="3"/>
        <v>스토리위즈</v>
      </c>
      <c r="I45" t="str">
        <f>T("[e북]최종 보스 : 빛을 향해 달리는 그림자")</f>
        <v>[e북]최종 보스 : 빛을 향해 달리는 그림자</v>
      </c>
      <c r="J45">
        <v>3200</v>
      </c>
      <c r="K45">
        <v>28800</v>
      </c>
      <c r="L45">
        <v>9</v>
      </c>
      <c r="M45">
        <v>0</v>
      </c>
      <c r="N45">
        <v>128790</v>
      </c>
      <c r="O45">
        <v>177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-1530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157590</v>
      </c>
      <c r="AH45">
        <v>186</v>
      </c>
      <c r="AI45">
        <v>-1530</v>
      </c>
      <c r="AJ45">
        <v>2</v>
      </c>
      <c r="AK45">
        <v>156079</v>
      </c>
      <c r="AL45">
        <v>-1530</v>
      </c>
      <c r="AM45">
        <v>1813.2</v>
      </c>
      <c r="AN45">
        <v>-543.96</v>
      </c>
      <c r="AO45">
        <v>0</v>
      </c>
      <c r="AP45">
        <v>109072.77</v>
      </c>
      <c r="AT45" t="str">
        <f>T("9791137601178")</f>
        <v>9791137601178</v>
      </c>
      <c r="AV45" t="str">
        <f t="shared" si="4"/>
        <v>판타지 e북 &gt; 현대 판타지</v>
      </c>
    </row>
    <row r="46" spans="1:48" x14ac:dyDescent="0.4">
      <c r="A46">
        <v>2313016857</v>
      </c>
      <c r="B46">
        <v>2313016856</v>
      </c>
      <c r="C46" t="str">
        <f>T("[e북]소투스 (SOTUS) 2권 (완결)")</f>
        <v>[e북]소투스 (SOTUS) 2권 (완결)</v>
      </c>
      <c r="D46" t="str">
        <f>T("2")</f>
        <v>2</v>
      </c>
      <c r="E46" t="str">
        <f>T("BitterSweet")</f>
        <v>BitterSweet</v>
      </c>
      <c r="H46" t="str">
        <f>T("도서출판 태랑")</f>
        <v>도서출판 태랑</v>
      </c>
      <c r="I46" t="str">
        <f>T("[e북]소투스 (SOTUS)")</f>
        <v>[e북]소투스 (SOTUS)</v>
      </c>
      <c r="J46">
        <v>3600</v>
      </c>
      <c r="K46">
        <v>28800</v>
      </c>
      <c r="L46">
        <v>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28800</v>
      </c>
      <c r="AH46">
        <v>8</v>
      </c>
      <c r="AI46">
        <v>0</v>
      </c>
      <c r="AJ46">
        <v>0</v>
      </c>
      <c r="AK46">
        <v>28800</v>
      </c>
      <c r="AL46">
        <v>0</v>
      </c>
      <c r="AM46">
        <v>0</v>
      </c>
      <c r="AN46">
        <v>0</v>
      </c>
      <c r="AO46">
        <v>0</v>
      </c>
      <c r="AP46">
        <v>20160</v>
      </c>
      <c r="AT46" t="str">
        <f>T("9791164374649")</f>
        <v>9791164374649</v>
      </c>
      <c r="AV46" t="str">
        <f>T("BL 소설 e북 &gt; 해외 소설")</f>
        <v>BL 소설 e북 &gt; 해외 소설</v>
      </c>
    </row>
    <row r="47" spans="1:48" x14ac:dyDescent="0.4">
      <c r="A47">
        <v>2313018089</v>
      </c>
      <c r="B47">
        <v>2313018092</v>
      </c>
      <c r="C47" t="str">
        <f>T("[e북]신들의 알바나라 4권")</f>
        <v>[e북]신들의 알바나라 4권</v>
      </c>
      <c r="D47" t="str">
        <f>T("4")</f>
        <v>4</v>
      </c>
      <c r="E47" t="str">
        <f>T("갓띵작")</f>
        <v>갓띵작</v>
      </c>
      <c r="H47" t="str">
        <f t="shared" ref="H47:H54" si="5">T("스토리위즈")</f>
        <v>스토리위즈</v>
      </c>
      <c r="I47" t="str">
        <f>T("[e북]신들의 알바나라")</f>
        <v>[e북]신들의 알바나라</v>
      </c>
      <c r="J47">
        <v>3200</v>
      </c>
      <c r="K47">
        <v>28800</v>
      </c>
      <c r="L47">
        <v>9</v>
      </c>
      <c r="M47">
        <v>0</v>
      </c>
      <c r="N47">
        <v>35190</v>
      </c>
      <c r="O47">
        <v>42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63990</v>
      </c>
      <c r="AH47">
        <v>51</v>
      </c>
      <c r="AI47">
        <v>0</v>
      </c>
      <c r="AJ47">
        <v>0</v>
      </c>
      <c r="AK47">
        <v>63990</v>
      </c>
      <c r="AL47">
        <v>0</v>
      </c>
      <c r="AM47">
        <v>0</v>
      </c>
      <c r="AN47">
        <v>0</v>
      </c>
      <c r="AO47">
        <v>0</v>
      </c>
      <c r="AP47">
        <v>44793</v>
      </c>
      <c r="AT47" t="str">
        <f>T("9791137604520")</f>
        <v>9791137604520</v>
      </c>
      <c r="AV47" t="str">
        <f>T("판타지 e북 &gt; 퓨전 판타지")</f>
        <v>판타지 e북 &gt; 퓨전 판타지</v>
      </c>
    </row>
    <row r="48" spans="1:48" x14ac:dyDescent="0.4">
      <c r="A48">
        <v>2313012817</v>
      </c>
      <c r="B48">
        <v>2313012818</v>
      </c>
      <c r="C48" t="str">
        <f>T("[e북]갓 오브 블랙필드 2권")</f>
        <v>[e북]갓 오브 블랙필드 2권</v>
      </c>
      <c r="D48" t="str">
        <f>T("2")</f>
        <v>2</v>
      </c>
      <c r="E48" t="str">
        <f t="shared" ref="E48:E53" si="6">T("무장")</f>
        <v>무장</v>
      </c>
      <c r="H48" t="str">
        <f t="shared" si="5"/>
        <v>스토리위즈</v>
      </c>
      <c r="I48" t="str">
        <f t="shared" ref="I48:I53" si="7">T("[e북]갓 오브 블랙필드")</f>
        <v>[e북]갓 오브 블랙필드</v>
      </c>
      <c r="J48">
        <v>3200</v>
      </c>
      <c r="K48">
        <v>28480</v>
      </c>
      <c r="L48">
        <v>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28480</v>
      </c>
      <c r="AH48">
        <v>9</v>
      </c>
      <c r="AI48">
        <v>0</v>
      </c>
      <c r="AJ48">
        <v>0</v>
      </c>
      <c r="AK48">
        <v>25280</v>
      </c>
      <c r="AL48">
        <v>0</v>
      </c>
      <c r="AM48">
        <v>3853.12</v>
      </c>
      <c r="AN48">
        <v>-1155.94</v>
      </c>
      <c r="AO48">
        <v>0</v>
      </c>
      <c r="AP48">
        <v>19584.03</v>
      </c>
      <c r="AR48" t="str">
        <f t="shared" ref="AR48:AR53" si="8">T("0000000000000")</f>
        <v>0000000000000</v>
      </c>
      <c r="AT48" t="str">
        <f>T("9791137602151")</f>
        <v>9791137602151</v>
      </c>
      <c r="AV48" t="str">
        <f t="shared" ref="AV48:AV53" si="9">T("판타지 e북 &gt; 현대 판타지")</f>
        <v>판타지 e북 &gt; 현대 판타지</v>
      </c>
    </row>
    <row r="49" spans="1:48" x14ac:dyDescent="0.4">
      <c r="A49">
        <v>2313012817</v>
      </c>
      <c r="B49">
        <v>2313012820</v>
      </c>
      <c r="C49" t="str">
        <f>T("[e북]갓 오브 블랙필드 4권")</f>
        <v>[e북]갓 오브 블랙필드 4권</v>
      </c>
      <c r="D49" t="str">
        <f>T("4")</f>
        <v>4</v>
      </c>
      <c r="E49" t="str">
        <f t="shared" si="6"/>
        <v>무장</v>
      </c>
      <c r="H49" t="str">
        <f t="shared" si="5"/>
        <v>스토리위즈</v>
      </c>
      <c r="I49" t="str">
        <f t="shared" si="7"/>
        <v>[e북]갓 오브 블랙필드</v>
      </c>
      <c r="J49">
        <v>3200</v>
      </c>
      <c r="K49">
        <v>28480</v>
      </c>
      <c r="L49">
        <v>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28480</v>
      </c>
      <c r="AH49">
        <v>9</v>
      </c>
      <c r="AI49">
        <v>0</v>
      </c>
      <c r="AJ49">
        <v>0</v>
      </c>
      <c r="AK49">
        <v>25880</v>
      </c>
      <c r="AL49">
        <v>0</v>
      </c>
      <c r="AM49">
        <v>3130.66</v>
      </c>
      <c r="AN49">
        <v>-939.2</v>
      </c>
      <c r="AO49">
        <v>0</v>
      </c>
      <c r="AP49">
        <v>19650.02</v>
      </c>
      <c r="AR49" t="str">
        <f t="shared" si="8"/>
        <v>0000000000000</v>
      </c>
      <c r="AT49" t="str">
        <f>T("9791137602182")</f>
        <v>9791137602182</v>
      </c>
      <c r="AV49" t="str">
        <f t="shared" si="9"/>
        <v>판타지 e북 &gt; 현대 판타지</v>
      </c>
    </row>
    <row r="50" spans="1:48" x14ac:dyDescent="0.4">
      <c r="A50">
        <v>2313012817</v>
      </c>
      <c r="B50">
        <v>2313012823</v>
      </c>
      <c r="C50" t="str">
        <f>T("[e북]갓 오브 블랙필드 7권")</f>
        <v>[e북]갓 오브 블랙필드 7권</v>
      </c>
      <c r="D50" t="str">
        <f>T("7")</f>
        <v>7</v>
      </c>
      <c r="E50" t="str">
        <f t="shared" si="6"/>
        <v>무장</v>
      </c>
      <c r="H50" t="str">
        <f t="shared" si="5"/>
        <v>스토리위즈</v>
      </c>
      <c r="I50" t="str">
        <f t="shared" si="7"/>
        <v>[e북]갓 오브 블랙필드</v>
      </c>
      <c r="J50">
        <v>3200</v>
      </c>
      <c r="K50">
        <v>28480</v>
      </c>
      <c r="L50">
        <v>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28480</v>
      </c>
      <c r="AH50">
        <v>9</v>
      </c>
      <c r="AI50">
        <v>0</v>
      </c>
      <c r="AJ50">
        <v>0</v>
      </c>
      <c r="AK50">
        <v>28480</v>
      </c>
      <c r="AL50">
        <v>0</v>
      </c>
      <c r="AM50">
        <v>0</v>
      </c>
      <c r="AN50">
        <v>0</v>
      </c>
      <c r="AO50">
        <v>0</v>
      </c>
      <c r="AP50">
        <v>19936</v>
      </c>
      <c r="AR50" t="str">
        <f t="shared" si="8"/>
        <v>0000000000000</v>
      </c>
      <c r="AT50" t="str">
        <f>T("9791137602212")</f>
        <v>9791137602212</v>
      </c>
      <c r="AV50" t="str">
        <f t="shared" si="9"/>
        <v>판타지 e북 &gt; 현대 판타지</v>
      </c>
    </row>
    <row r="51" spans="1:48" x14ac:dyDescent="0.4">
      <c r="A51">
        <v>2313012817</v>
      </c>
      <c r="B51">
        <v>2313012824</v>
      </c>
      <c r="C51" t="str">
        <f>T("[e북]갓 오브 블랙필드 8권")</f>
        <v>[e북]갓 오브 블랙필드 8권</v>
      </c>
      <c r="D51" t="str">
        <f>T("8")</f>
        <v>8</v>
      </c>
      <c r="E51" t="str">
        <f t="shared" si="6"/>
        <v>무장</v>
      </c>
      <c r="H51" t="str">
        <f t="shared" si="5"/>
        <v>스토리위즈</v>
      </c>
      <c r="I51" t="str">
        <f t="shared" si="7"/>
        <v>[e북]갓 오브 블랙필드</v>
      </c>
      <c r="J51">
        <v>3200</v>
      </c>
      <c r="K51">
        <v>28480</v>
      </c>
      <c r="L51">
        <v>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28480</v>
      </c>
      <c r="AH51">
        <v>9</v>
      </c>
      <c r="AI51">
        <v>0</v>
      </c>
      <c r="AJ51">
        <v>0</v>
      </c>
      <c r="AK51">
        <v>28480</v>
      </c>
      <c r="AL51">
        <v>0</v>
      </c>
      <c r="AM51">
        <v>0</v>
      </c>
      <c r="AN51">
        <v>0</v>
      </c>
      <c r="AO51">
        <v>0</v>
      </c>
      <c r="AP51">
        <v>19936</v>
      </c>
      <c r="AR51" t="str">
        <f t="shared" si="8"/>
        <v>0000000000000</v>
      </c>
      <c r="AT51" t="str">
        <f>T("9791137602229")</f>
        <v>9791137602229</v>
      </c>
      <c r="AV51" t="str">
        <f t="shared" si="9"/>
        <v>판타지 e북 &gt; 현대 판타지</v>
      </c>
    </row>
    <row r="52" spans="1:48" x14ac:dyDescent="0.4">
      <c r="A52">
        <v>2313012817</v>
      </c>
      <c r="B52">
        <v>2313012826</v>
      </c>
      <c r="C52" t="str">
        <f>T("[e북]갓 오브 블랙필드 10권")</f>
        <v>[e북]갓 오브 블랙필드 10권</v>
      </c>
      <c r="D52" t="str">
        <f>T("10")</f>
        <v>10</v>
      </c>
      <c r="E52" t="str">
        <f t="shared" si="6"/>
        <v>무장</v>
      </c>
      <c r="H52" t="str">
        <f t="shared" si="5"/>
        <v>스토리위즈</v>
      </c>
      <c r="I52" t="str">
        <f t="shared" si="7"/>
        <v>[e북]갓 오브 블랙필드</v>
      </c>
      <c r="J52">
        <v>3200</v>
      </c>
      <c r="K52">
        <v>28480</v>
      </c>
      <c r="L52">
        <v>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28480</v>
      </c>
      <c r="AH52">
        <v>9</v>
      </c>
      <c r="AI52">
        <v>0</v>
      </c>
      <c r="AJ52">
        <v>0</v>
      </c>
      <c r="AK52">
        <v>28480</v>
      </c>
      <c r="AL52">
        <v>0</v>
      </c>
      <c r="AM52">
        <v>0</v>
      </c>
      <c r="AN52">
        <v>0</v>
      </c>
      <c r="AO52">
        <v>0</v>
      </c>
      <c r="AP52">
        <v>19936</v>
      </c>
      <c r="AR52" t="str">
        <f t="shared" si="8"/>
        <v>0000000000000</v>
      </c>
      <c r="AT52" t="str">
        <f>T("9791137602243")</f>
        <v>9791137602243</v>
      </c>
      <c r="AV52" t="str">
        <f t="shared" si="9"/>
        <v>판타지 e북 &gt; 현대 판타지</v>
      </c>
    </row>
    <row r="53" spans="1:48" x14ac:dyDescent="0.4">
      <c r="A53">
        <v>2313012817</v>
      </c>
      <c r="B53">
        <v>2313012833</v>
      </c>
      <c r="C53" t="str">
        <f>T("[e북]갓 오브 블랙필드 17권")</f>
        <v>[e북]갓 오브 블랙필드 17권</v>
      </c>
      <c r="D53" t="str">
        <f>T("17")</f>
        <v>17</v>
      </c>
      <c r="E53" t="str">
        <f t="shared" si="6"/>
        <v>무장</v>
      </c>
      <c r="H53" t="str">
        <f t="shared" si="5"/>
        <v>스토리위즈</v>
      </c>
      <c r="I53" t="str">
        <f t="shared" si="7"/>
        <v>[e북]갓 오브 블랙필드</v>
      </c>
      <c r="J53">
        <v>3200</v>
      </c>
      <c r="K53">
        <v>28480</v>
      </c>
      <c r="L53">
        <v>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28480</v>
      </c>
      <c r="AH53">
        <v>9</v>
      </c>
      <c r="AI53">
        <v>0</v>
      </c>
      <c r="AJ53">
        <v>0</v>
      </c>
      <c r="AK53">
        <v>28480</v>
      </c>
      <c r="AL53">
        <v>0</v>
      </c>
      <c r="AM53">
        <v>0</v>
      </c>
      <c r="AN53">
        <v>0</v>
      </c>
      <c r="AO53">
        <v>0</v>
      </c>
      <c r="AP53">
        <v>19936</v>
      </c>
      <c r="AR53" t="str">
        <f t="shared" si="8"/>
        <v>0000000000000</v>
      </c>
      <c r="AT53" t="str">
        <f>T("9791137602328")</f>
        <v>9791137602328</v>
      </c>
      <c r="AV53" t="str">
        <f t="shared" si="9"/>
        <v>판타지 e북 &gt; 현대 판타지</v>
      </c>
    </row>
    <row r="54" spans="1:48" x14ac:dyDescent="0.4">
      <c r="A54">
        <v>2313007027</v>
      </c>
      <c r="B54">
        <v>2313007031</v>
      </c>
      <c r="C54" t="str">
        <f>T("[e북]레이디 스칼렛 5권")</f>
        <v>[e북]레이디 스칼렛 5권</v>
      </c>
      <c r="D54" t="str">
        <f>T("5")</f>
        <v>5</v>
      </c>
      <c r="E54" t="str">
        <f>T("불고기자리")</f>
        <v>불고기자리</v>
      </c>
      <c r="H54" t="str">
        <f t="shared" si="5"/>
        <v>스토리위즈</v>
      </c>
      <c r="I54" t="str">
        <f>T("[e북]레이디 스칼렛")</f>
        <v>[e북]레이디 스칼렛</v>
      </c>
      <c r="J54">
        <v>3500</v>
      </c>
      <c r="K54">
        <v>28000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28000</v>
      </c>
      <c r="AH54">
        <v>8</v>
      </c>
      <c r="AI54">
        <v>0</v>
      </c>
      <c r="AJ54">
        <v>0</v>
      </c>
      <c r="AK54">
        <v>28000</v>
      </c>
      <c r="AL54">
        <v>0</v>
      </c>
      <c r="AM54">
        <v>0</v>
      </c>
      <c r="AN54">
        <v>0</v>
      </c>
      <c r="AO54">
        <v>0</v>
      </c>
      <c r="AP54">
        <v>19600</v>
      </c>
      <c r="AT54" t="str">
        <f>T("9791159289002")</f>
        <v>9791159289002</v>
      </c>
      <c r="AV54" t="str">
        <f>T("로판 e북 &gt; 서양풍 로판")</f>
        <v>로판 e북 &gt; 서양풍 로판</v>
      </c>
    </row>
    <row r="55" spans="1:48" x14ac:dyDescent="0.4">
      <c r="A55">
        <v>2313017081</v>
      </c>
      <c r="B55">
        <v>2313017081</v>
      </c>
      <c r="C55" t="str">
        <f>T("[e북]골 때리는 사랑 1권")</f>
        <v>[e북]골 때리는 사랑 1권</v>
      </c>
      <c r="D55" t="str">
        <f>T("1")</f>
        <v>1</v>
      </c>
      <c r="E55" t="str">
        <f>T("모리미")</f>
        <v>모리미</v>
      </c>
      <c r="H55" t="str">
        <f>T("도서출판 태랑")</f>
        <v>도서출판 태랑</v>
      </c>
      <c r="I55" t="str">
        <f>T("[e북]골 때리는 사랑")</f>
        <v>[e북]골 때리는 사랑</v>
      </c>
      <c r="J55">
        <v>2800</v>
      </c>
      <c r="K55">
        <v>28000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28000</v>
      </c>
      <c r="AH55">
        <v>10</v>
      </c>
      <c r="AI55">
        <v>0</v>
      </c>
      <c r="AJ55">
        <v>0</v>
      </c>
      <c r="AK55">
        <v>28000</v>
      </c>
      <c r="AL55">
        <v>0</v>
      </c>
      <c r="AM55">
        <v>0</v>
      </c>
      <c r="AN55">
        <v>0</v>
      </c>
      <c r="AO55">
        <v>0</v>
      </c>
      <c r="AP55">
        <v>19600</v>
      </c>
      <c r="AT55" t="str">
        <f>T("9791164370481")</f>
        <v>9791164370481</v>
      </c>
      <c r="AV55" t="str">
        <f>T("BL 소설 e북 &gt; 현대물")</f>
        <v>BL 소설 e북 &gt; 현대물</v>
      </c>
    </row>
    <row r="56" spans="1:48" x14ac:dyDescent="0.4">
      <c r="A56">
        <v>2313006989</v>
      </c>
      <c r="B56">
        <v>2313006990</v>
      </c>
      <c r="C56" t="str">
        <f>T("[e북]로드 오브 머니 2권")</f>
        <v>[e북]로드 오브 머니 2권</v>
      </c>
      <c r="D56" t="str">
        <f>T("2")</f>
        <v>2</v>
      </c>
      <c r="E56" t="str">
        <f>T("무장")</f>
        <v>무장</v>
      </c>
      <c r="H56" t="str">
        <f t="shared" ref="H56:H66" si="10">T("스토리위즈")</f>
        <v>스토리위즈</v>
      </c>
      <c r="I56" t="str">
        <f>T("[e북]로드 오브 머니")</f>
        <v>[e북]로드 오브 머니</v>
      </c>
      <c r="J56">
        <v>3200</v>
      </c>
      <c r="K56">
        <v>25600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25600</v>
      </c>
      <c r="AH56">
        <v>8</v>
      </c>
      <c r="AI56">
        <v>0</v>
      </c>
      <c r="AJ56">
        <v>0</v>
      </c>
      <c r="AK56">
        <v>25600</v>
      </c>
      <c r="AL56">
        <v>0</v>
      </c>
      <c r="AM56">
        <v>0</v>
      </c>
      <c r="AN56">
        <v>0</v>
      </c>
      <c r="AO56">
        <v>0</v>
      </c>
      <c r="AP56">
        <v>17920</v>
      </c>
      <c r="AT56" t="str">
        <f>T("9791188630110")</f>
        <v>9791188630110</v>
      </c>
      <c r="AV56" t="str">
        <f>T("판타지 e북 &gt; 현대 판타지")</f>
        <v>판타지 e북 &gt; 현대 판타지</v>
      </c>
    </row>
    <row r="57" spans="1:48" x14ac:dyDescent="0.4">
      <c r="A57">
        <v>2313006989</v>
      </c>
      <c r="B57">
        <v>2313006998</v>
      </c>
      <c r="C57" t="str">
        <f>T("[e북]로드 오브 머니 10권")</f>
        <v>[e북]로드 오브 머니 10권</v>
      </c>
      <c r="D57" t="str">
        <f>T("10")</f>
        <v>10</v>
      </c>
      <c r="E57" t="str">
        <f>T("무장")</f>
        <v>무장</v>
      </c>
      <c r="H57" t="str">
        <f t="shared" si="10"/>
        <v>스토리위즈</v>
      </c>
      <c r="I57" t="str">
        <f>T("[e북]로드 오브 머니")</f>
        <v>[e북]로드 오브 머니</v>
      </c>
      <c r="J57">
        <v>3200</v>
      </c>
      <c r="K57">
        <v>25600</v>
      </c>
      <c r="L57">
        <v>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25600</v>
      </c>
      <c r="AH57">
        <v>8</v>
      </c>
      <c r="AI57">
        <v>0</v>
      </c>
      <c r="AJ57">
        <v>0</v>
      </c>
      <c r="AK57">
        <v>25600</v>
      </c>
      <c r="AL57">
        <v>0</v>
      </c>
      <c r="AM57">
        <v>0</v>
      </c>
      <c r="AN57">
        <v>0</v>
      </c>
      <c r="AO57">
        <v>0</v>
      </c>
      <c r="AP57">
        <v>17920</v>
      </c>
      <c r="AT57" t="str">
        <f>T("9791188630196")</f>
        <v>9791188630196</v>
      </c>
      <c r="AV57" t="str">
        <f>T("판타지 e북 &gt; 현대 판타지")</f>
        <v>판타지 e북 &gt; 현대 판타지</v>
      </c>
    </row>
    <row r="58" spans="1:48" x14ac:dyDescent="0.4">
      <c r="A58">
        <v>2313008324</v>
      </c>
      <c r="B58">
        <v>2313008327</v>
      </c>
      <c r="C58" t="str">
        <f>T("[e북]간신이 나라를 살림 4권")</f>
        <v>[e북]간신이 나라를 살림 4권</v>
      </c>
      <c r="D58" t="str">
        <f>T("4")</f>
        <v>4</v>
      </c>
      <c r="E58" t="str">
        <f>T("루이세")</f>
        <v>루이세</v>
      </c>
      <c r="H58" t="str">
        <f t="shared" si="10"/>
        <v>스토리위즈</v>
      </c>
      <c r="I58" t="str">
        <f>T("[e북]간신이 나라를 살림")</f>
        <v>[e북]간신이 나라를 살림</v>
      </c>
      <c r="J58">
        <v>3200</v>
      </c>
      <c r="K58">
        <v>25600</v>
      </c>
      <c r="L58">
        <v>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132800</v>
      </c>
      <c r="T58">
        <v>83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-3200</v>
      </c>
      <c r="AD58">
        <v>2</v>
      </c>
      <c r="AE58">
        <v>0</v>
      </c>
      <c r="AF58">
        <v>0</v>
      </c>
      <c r="AG58">
        <v>158400</v>
      </c>
      <c r="AH58">
        <v>91</v>
      </c>
      <c r="AI58">
        <v>-3200</v>
      </c>
      <c r="AJ58">
        <v>2</v>
      </c>
      <c r="AK58">
        <v>158400</v>
      </c>
      <c r="AL58">
        <v>-3200</v>
      </c>
      <c r="AM58">
        <v>0</v>
      </c>
      <c r="AN58">
        <v>0</v>
      </c>
      <c r="AO58">
        <v>0</v>
      </c>
      <c r="AP58">
        <v>108640</v>
      </c>
      <c r="AT58" t="str">
        <f>T("9791165310745")</f>
        <v>9791165310745</v>
      </c>
      <c r="AV58" t="str">
        <f>T("판타지 e북 &gt; 퓨전 판타지")</f>
        <v>판타지 e북 &gt; 퓨전 판타지</v>
      </c>
    </row>
    <row r="59" spans="1:48" x14ac:dyDescent="0.4">
      <c r="A59">
        <v>2313008324</v>
      </c>
      <c r="B59">
        <v>2313008328</v>
      </c>
      <c r="C59" t="str">
        <f>T("[e북]간신이 나라를 살림 5권")</f>
        <v>[e북]간신이 나라를 살림 5권</v>
      </c>
      <c r="D59" t="str">
        <f>T("5")</f>
        <v>5</v>
      </c>
      <c r="E59" t="str">
        <f>T("루이세")</f>
        <v>루이세</v>
      </c>
      <c r="H59" t="str">
        <f t="shared" si="10"/>
        <v>스토리위즈</v>
      </c>
      <c r="I59" t="str">
        <f>T("[e북]간신이 나라를 살림")</f>
        <v>[e북]간신이 나라를 살림</v>
      </c>
      <c r="J59">
        <v>3200</v>
      </c>
      <c r="K59">
        <v>25600</v>
      </c>
      <c r="L59">
        <v>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132800</v>
      </c>
      <c r="T59">
        <v>83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-3200</v>
      </c>
      <c r="AD59">
        <v>2</v>
      </c>
      <c r="AE59">
        <v>0</v>
      </c>
      <c r="AF59">
        <v>0</v>
      </c>
      <c r="AG59">
        <v>158400</v>
      </c>
      <c r="AH59">
        <v>91</v>
      </c>
      <c r="AI59">
        <v>-3200</v>
      </c>
      <c r="AJ59">
        <v>2</v>
      </c>
      <c r="AK59">
        <v>158400</v>
      </c>
      <c r="AL59">
        <v>-3200</v>
      </c>
      <c r="AM59">
        <v>0</v>
      </c>
      <c r="AN59">
        <v>0</v>
      </c>
      <c r="AO59">
        <v>0</v>
      </c>
      <c r="AP59">
        <v>108640</v>
      </c>
      <c r="AT59" t="str">
        <f>T("9791165310752")</f>
        <v>9791165310752</v>
      </c>
      <c r="AV59" t="str">
        <f>T("판타지 e북 &gt; 퓨전 판타지")</f>
        <v>판타지 e북 &gt; 퓨전 판타지</v>
      </c>
    </row>
    <row r="60" spans="1:48" x14ac:dyDescent="0.4">
      <c r="A60">
        <v>2313011938</v>
      </c>
      <c r="B60">
        <v>2313015163</v>
      </c>
      <c r="C60" t="str">
        <f>T("[e북]최종 보스 : 빛을 향해 달리는 그림자 2부 18권")</f>
        <v>[e북]최종 보스 : 빛을 향해 달리는 그림자 2부 18권</v>
      </c>
      <c r="D60" t="str">
        <f>T("18")</f>
        <v>18</v>
      </c>
      <c r="E60" t="str">
        <f>T("무장")</f>
        <v>무장</v>
      </c>
      <c r="H60" t="str">
        <f t="shared" si="10"/>
        <v>스토리위즈</v>
      </c>
      <c r="I60" t="str">
        <f>T("[e북]최종 보스 : 빛을 향해 달리는 그림자")</f>
        <v>[e북]최종 보스 : 빛을 향해 달리는 그림자</v>
      </c>
      <c r="J60">
        <v>3200</v>
      </c>
      <c r="K60">
        <v>25600</v>
      </c>
      <c r="L60">
        <v>8</v>
      </c>
      <c r="M60">
        <v>0</v>
      </c>
      <c r="N60">
        <v>158490</v>
      </c>
      <c r="O60">
        <v>210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-1530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184090</v>
      </c>
      <c r="AH60">
        <v>218</v>
      </c>
      <c r="AI60">
        <v>-1530</v>
      </c>
      <c r="AJ60">
        <v>2</v>
      </c>
      <c r="AK60">
        <v>181678</v>
      </c>
      <c r="AL60">
        <v>-1530</v>
      </c>
      <c r="AM60">
        <v>2894.4</v>
      </c>
      <c r="AN60">
        <v>-868.32</v>
      </c>
      <c r="AO60">
        <v>0</v>
      </c>
      <c r="AP60">
        <v>127521.85</v>
      </c>
      <c r="AT60" t="str">
        <f>T("9791137601178")</f>
        <v>9791137601178</v>
      </c>
      <c r="AV60" t="str">
        <f>T("판타지 e북 &gt; 현대 판타지")</f>
        <v>판타지 e북 &gt; 현대 판타지</v>
      </c>
    </row>
    <row r="61" spans="1:48" x14ac:dyDescent="0.4">
      <c r="A61">
        <v>2313018089</v>
      </c>
      <c r="B61">
        <v>2313018093</v>
      </c>
      <c r="C61" t="str">
        <f>T("[e북]신들의 알바나라 5권")</f>
        <v>[e북]신들의 알바나라 5권</v>
      </c>
      <c r="D61" t="str">
        <f>T("5")</f>
        <v>5</v>
      </c>
      <c r="E61" t="str">
        <f>T("갓띵작")</f>
        <v>갓띵작</v>
      </c>
      <c r="H61" t="str">
        <f t="shared" si="10"/>
        <v>스토리위즈</v>
      </c>
      <c r="I61" t="str">
        <f>T("[e북]신들의 알바나라")</f>
        <v>[e북]신들의 알바나라</v>
      </c>
      <c r="J61">
        <v>3200</v>
      </c>
      <c r="K61">
        <v>25600</v>
      </c>
      <c r="L61">
        <v>8</v>
      </c>
      <c r="M61">
        <v>0</v>
      </c>
      <c r="N61">
        <v>33390</v>
      </c>
      <c r="O61">
        <v>40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58990</v>
      </c>
      <c r="AH61">
        <v>48</v>
      </c>
      <c r="AI61">
        <v>0</v>
      </c>
      <c r="AJ61">
        <v>0</v>
      </c>
      <c r="AK61">
        <v>58990</v>
      </c>
      <c r="AL61">
        <v>0</v>
      </c>
      <c r="AM61">
        <v>0</v>
      </c>
      <c r="AN61">
        <v>0</v>
      </c>
      <c r="AO61">
        <v>0</v>
      </c>
      <c r="AP61">
        <v>41293</v>
      </c>
      <c r="AT61" t="str">
        <f>T("9791137604537")</f>
        <v>9791137604537</v>
      </c>
      <c r="AV61" t="str">
        <f>T("판타지 e북 &gt; 퓨전 판타지")</f>
        <v>판타지 e북 &gt; 퓨전 판타지</v>
      </c>
    </row>
    <row r="62" spans="1:48" x14ac:dyDescent="0.4">
      <c r="A62">
        <v>2313012817</v>
      </c>
      <c r="B62">
        <v>2313012819</v>
      </c>
      <c r="C62" t="str">
        <f>T("[e북]갓 오브 블랙필드 3권")</f>
        <v>[e북]갓 오브 블랙필드 3권</v>
      </c>
      <c r="D62" t="str">
        <f>T("3")</f>
        <v>3</v>
      </c>
      <c r="E62" t="str">
        <f>T("무장")</f>
        <v>무장</v>
      </c>
      <c r="H62" t="str">
        <f t="shared" si="10"/>
        <v>스토리위즈</v>
      </c>
      <c r="I62" t="str">
        <f>T("[e북]갓 오브 블랙필드")</f>
        <v>[e북]갓 오브 블랙필드</v>
      </c>
      <c r="J62">
        <v>3200</v>
      </c>
      <c r="K62">
        <v>25280</v>
      </c>
      <c r="L62">
        <v>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25280</v>
      </c>
      <c r="AH62">
        <v>8</v>
      </c>
      <c r="AI62">
        <v>0</v>
      </c>
      <c r="AJ62">
        <v>0</v>
      </c>
      <c r="AK62">
        <v>23780</v>
      </c>
      <c r="AL62">
        <v>0</v>
      </c>
      <c r="AM62">
        <v>1785.75</v>
      </c>
      <c r="AN62">
        <v>-535.73</v>
      </c>
      <c r="AO62">
        <v>0</v>
      </c>
      <c r="AP62">
        <v>17521.009999999998</v>
      </c>
      <c r="AR62" t="str">
        <f>T("0000000000000")</f>
        <v>0000000000000</v>
      </c>
      <c r="AT62" t="str">
        <f>T("9791137602175")</f>
        <v>9791137602175</v>
      </c>
      <c r="AV62" t="str">
        <f>T("판타지 e북 &gt; 현대 판타지")</f>
        <v>판타지 e북 &gt; 현대 판타지</v>
      </c>
    </row>
    <row r="63" spans="1:48" x14ac:dyDescent="0.4">
      <c r="A63">
        <v>2313012817</v>
      </c>
      <c r="B63">
        <v>2313012827</v>
      </c>
      <c r="C63" t="str">
        <f>T("[e북]갓 오브 블랙필드 11권")</f>
        <v>[e북]갓 오브 블랙필드 11권</v>
      </c>
      <c r="D63" t="str">
        <f>T("11")</f>
        <v>11</v>
      </c>
      <c r="E63" t="str">
        <f>T("무장")</f>
        <v>무장</v>
      </c>
      <c r="H63" t="str">
        <f t="shared" si="10"/>
        <v>스토리위즈</v>
      </c>
      <c r="I63" t="str">
        <f>T("[e북]갓 오브 블랙필드")</f>
        <v>[e북]갓 오브 블랙필드</v>
      </c>
      <c r="J63">
        <v>3200</v>
      </c>
      <c r="K63">
        <v>25280</v>
      </c>
      <c r="L63">
        <v>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25280</v>
      </c>
      <c r="AH63">
        <v>8</v>
      </c>
      <c r="AI63">
        <v>0</v>
      </c>
      <c r="AJ63">
        <v>0</v>
      </c>
      <c r="AK63">
        <v>25280</v>
      </c>
      <c r="AL63">
        <v>0</v>
      </c>
      <c r="AM63">
        <v>0</v>
      </c>
      <c r="AN63">
        <v>0</v>
      </c>
      <c r="AO63">
        <v>0</v>
      </c>
      <c r="AP63">
        <v>17696</v>
      </c>
      <c r="AR63" t="str">
        <f>T("0000000000000")</f>
        <v>0000000000000</v>
      </c>
      <c r="AT63" t="str">
        <f>T("9791137602267")</f>
        <v>9791137602267</v>
      </c>
      <c r="AV63" t="str">
        <f>T("판타지 e북 &gt; 현대 판타지")</f>
        <v>판타지 e북 &gt; 현대 판타지</v>
      </c>
    </row>
    <row r="64" spans="1:48" x14ac:dyDescent="0.4">
      <c r="A64">
        <v>2313012817</v>
      </c>
      <c r="B64">
        <v>2313012845</v>
      </c>
      <c r="C64" t="str">
        <f>T("[e북]갓 오브 블랙필드 2부 2권")</f>
        <v>[e북]갓 오브 블랙필드 2부 2권</v>
      </c>
      <c r="D64" t="str">
        <f>T("29")</f>
        <v>29</v>
      </c>
      <c r="E64" t="str">
        <f>T("무장")</f>
        <v>무장</v>
      </c>
      <c r="H64" t="str">
        <f t="shared" si="10"/>
        <v>스토리위즈</v>
      </c>
      <c r="I64" t="str">
        <f>T("[e북]갓 오브 블랙필드")</f>
        <v>[e북]갓 오브 블랙필드</v>
      </c>
      <c r="J64">
        <v>3200</v>
      </c>
      <c r="K64">
        <v>25280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25280</v>
      </c>
      <c r="AH64">
        <v>8</v>
      </c>
      <c r="AI64">
        <v>0</v>
      </c>
      <c r="AJ64">
        <v>0</v>
      </c>
      <c r="AK64">
        <v>25280</v>
      </c>
      <c r="AL64">
        <v>0</v>
      </c>
      <c r="AM64">
        <v>0</v>
      </c>
      <c r="AN64">
        <v>0</v>
      </c>
      <c r="AO64">
        <v>0</v>
      </c>
      <c r="AP64">
        <v>17696</v>
      </c>
      <c r="AR64" t="str">
        <f>T("0000000000000")</f>
        <v>0000000000000</v>
      </c>
      <c r="AT64" t="str">
        <f>T("9791137602441")</f>
        <v>9791137602441</v>
      </c>
      <c r="AV64" t="str">
        <f>T("판타지 e북 &gt; 현대 판타지")</f>
        <v>판타지 e북 &gt; 현대 판타지</v>
      </c>
    </row>
    <row r="65" spans="1:49" x14ac:dyDescent="0.4">
      <c r="A65">
        <v>2313012817</v>
      </c>
      <c r="B65">
        <v>2313012846</v>
      </c>
      <c r="C65" t="str">
        <f>T("[e북]갓 오브 블랙필드 2부 3권")</f>
        <v>[e북]갓 오브 블랙필드 2부 3권</v>
      </c>
      <c r="D65" t="str">
        <f>T("30")</f>
        <v>30</v>
      </c>
      <c r="E65" t="str">
        <f>T("무장")</f>
        <v>무장</v>
      </c>
      <c r="H65" t="str">
        <f t="shared" si="10"/>
        <v>스토리위즈</v>
      </c>
      <c r="I65" t="str">
        <f>T("[e북]갓 오브 블랙필드")</f>
        <v>[e북]갓 오브 블랙필드</v>
      </c>
      <c r="J65">
        <v>3200</v>
      </c>
      <c r="K65">
        <v>25280</v>
      </c>
      <c r="L65">
        <v>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25280</v>
      </c>
      <c r="AH65">
        <v>8</v>
      </c>
      <c r="AI65">
        <v>0</v>
      </c>
      <c r="AJ65">
        <v>0</v>
      </c>
      <c r="AK65">
        <v>25280</v>
      </c>
      <c r="AL65">
        <v>0</v>
      </c>
      <c r="AM65">
        <v>0</v>
      </c>
      <c r="AN65">
        <v>0</v>
      </c>
      <c r="AO65">
        <v>0</v>
      </c>
      <c r="AP65">
        <v>17696</v>
      </c>
      <c r="AR65" t="str">
        <f>T("0000000000000")</f>
        <v>0000000000000</v>
      </c>
      <c r="AT65" t="str">
        <f>T("9791137602458")</f>
        <v>9791137602458</v>
      </c>
      <c r="AV65" t="str">
        <f>T("판타지 e북 &gt; 현대 판타지")</f>
        <v>판타지 e북 &gt; 현대 판타지</v>
      </c>
    </row>
    <row r="66" spans="1:49" x14ac:dyDescent="0.4">
      <c r="A66">
        <v>2313007027</v>
      </c>
      <c r="B66">
        <v>2313007033</v>
      </c>
      <c r="C66" t="str">
        <f>T("[e북]레이디 스칼렛 7권 (외전포함) (완결)")</f>
        <v>[e북]레이디 스칼렛 7권 (외전포함) (완결)</v>
      </c>
      <c r="D66" t="str">
        <f>T("7")</f>
        <v>7</v>
      </c>
      <c r="E66" t="str">
        <f>T("불고기자리")</f>
        <v>불고기자리</v>
      </c>
      <c r="H66" t="str">
        <f t="shared" si="10"/>
        <v>스토리위즈</v>
      </c>
      <c r="I66" t="str">
        <f>T("[e북]레이디 스칼렛")</f>
        <v>[e북]레이디 스칼렛</v>
      </c>
      <c r="J66">
        <v>4200</v>
      </c>
      <c r="K66">
        <v>25200</v>
      </c>
      <c r="L66">
        <v>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25200</v>
      </c>
      <c r="AH66">
        <v>6</v>
      </c>
      <c r="AI66">
        <v>0</v>
      </c>
      <c r="AJ66">
        <v>0</v>
      </c>
      <c r="AK66">
        <v>25200</v>
      </c>
      <c r="AL66">
        <v>0</v>
      </c>
      <c r="AM66">
        <v>0</v>
      </c>
      <c r="AN66">
        <v>0</v>
      </c>
      <c r="AO66">
        <v>0</v>
      </c>
      <c r="AP66">
        <v>17640</v>
      </c>
      <c r="AT66" t="str">
        <f>T("9791159289026")</f>
        <v>9791159289026</v>
      </c>
      <c r="AV66" t="str">
        <f>T("로판 e북 &gt; 서양풍 로판")</f>
        <v>로판 e북 &gt; 서양풍 로판</v>
      </c>
    </row>
    <row r="67" spans="1:49" x14ac:dyDescent="0.4">
      <c r="A67">
        <v>2313016994</v>
      </c>
      <c r="B67">
        <v>2313016994</v>
      </c>
      <c r="C67" t="str">
        <f>T("[e북]숨결을 삼키다")</f>
        <v>[e북]숨결을 삼키다</v>
      </c>
      <c r="D67" t="str">
        <f>T("1")</f>
        <v>1</v>
      </c>
      <c r="E67" t="str">
        <f>T("문스톤")</f>
        <v>문스톤</v>
      </c>
      <c r="H67" t="str">
        <f>T("도서출판 태랑")</f>
        <v>도서출판 태랑</v>
      </c>
      <c r="I67" t="str">
        <f>T("[e북]숨결을 삼키다 (외전증보판)")</f>
        <v>[e북]숨결을 삼키다 (외전증보판)</v>
      </c>
      <c r="J67">
        <v>4000</v>
      </c>
      <c r="K67">
        <v>25200</v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25200</v>
      </c>
      <c r="AH67">
        <v>7</v>
      </c>
      <c r="AI67">
        <v>0</v>
      </c>
      <c r="AJ67">
        <v>0</v>
      </c>
      <c r="AK67">
        <v>25200</v>
      </c>
      <c r="AL67">
        <v>0</v>
      </c>
      <c r="AM67">
        <v>0</v>
      </c>
      <c r="AN67">
        <v>0</v>
      </c>
      <c r="AO67">
        <v>0</v>
      </c>
      <c r="AP67">
        <v>17640</v>
      </c>
      <c r="AT67" t="str">
        <f>T("9791164372508")</f>
        <v>9791164372508</v>
      </c>
      <c r="AV67" t="str">
        <f>T("로맨스 e북 &gt; 현대물")</f>
        <v>로맨스 e북 &gt; 현대물</v>
      </c>
      <c r="AW67" t="str">
        <f>T("로맨스 e북 &gt; 19+")</f>
        <v>로맨스 e북 &gt; 19+</v>
      </c>
    </row>
    <row r="68" spans="1:49" x14ac:dyDescent="0.4">
      <c r="A68">
        <v>2313017062</v>
      </c>
      <c r="B68">
        <v>2313017061</v>
      </c>
      <c r="C68" t="str">
        <f>T("[e북]6번가 장미 (외전증보판) 2권 (완결)")</f>
        <v>[e북]6번가 장미 (외전증보판) 2권 (완결)</v>
      </c>
      <c r="D68" t="str">
        <f>T("2")</f>
        <v>2</v>
      </c>
      <c r="E68" t="str">
        <f>T("탁윤")</f>
        <v>탁윤</v>
      </c>
      <c r="H68" t="str">
        <f>T("도서출판 태랑")</f>
        <v>도서출판 태랑</v>
      </c>
      <c r="I68" t="str">
        <f>T("[e북]6번가 장미 (외전증보판)")</f>
        <v>[e북]6번가 장미 (외전증보판)</v>
      </c>
      <c r="J68">
        <v>2400</v>
      </c>
      <c r="K68">
        <v>24000</v>
      </c>
      <c r="L68">
        <v>10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-2400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24000</v>
      </c>
      <c r="AH68">
        <v>10</v>
      </c>
      <c r="AI68">
        <v>-2400</v>
      </c>
      <c r="AJ68">
        <v>1</v>
      </c>
      <c r="AK68">
        <v>24000</v>
      </c>
      <c r="AL68">
        <v>-2400</v>
      </c>
      <c r="AM68">
        <v>0</v>
      </c>
      <c r="AN68">
        <v>0</v>
      </c>
      <c r="AO68">
        <v>0</v>
      </c>
      <c r="AP68">
        <v>15120</v>
      </c>
      <c r="AT68" t="str">
        <f>T("9791164370474")</f>
        <v>9791164370474</v>
      </c>
      <c r="AV68" t="str">
        <f>T("BL 소설 e북 &gt; 현대물")</f>
        <v>BL 소설 e북 &gt; 현대물</v>
      </c>
    </row>
    <row r="69" spans="1:49" x14ac:dyDescent="0.4">
      <c r="A69">
        <v>2313017062</v>
      </c>
      <c r="B69">
        <v>2313017062</v>
      </c>
      <c r="C69" t="str">
        <f>T("[e북]6번가 장미 (외전증보판) 1권")</f>
        <v>[e북]6번가 장미 (외전증보판) 1권</v>
      </c>
      <c r="D69" t="str">
        <f>T("1")</f>
        <v>1</v>
      </c>
      <c r="E69" t="str">
        <f>T("탁윤")</f>
        <v>탁윤</v>
      </c>
      <c r="H69" t="str">
        <f>T("도서출판 태랑")</f>
        <v>도서출판 태랑</v>
      </c>
      <c r="I69" t="str">
        <f>T("[e북]6번가 장미 (외전증보판)")</f>
        <v>[e북]6번가 장미 (외전증보판)</v>
      </c>
      <c r="J69">
        <v>2400</v>
      </c>
      <c r="K69">
        <v>24000</v>
      </c>
      <c r="L69">
        <v>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-2400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24000</v>
      </c>
      <c r="AH69">
        <v>10</v>
      </c>
      <c r="AI69">
        <v>-2400</v>
      </c>
      <c r="AJ69">
        <v>1</v>
      </c>
      <c r="AK69">
        <v>24000</v>
      </c>
      <c r="AL69">
        <v>-2400</v>
      </c>
      <c r="AM69">
        <v>0</v>
      </c>
      <c r="AN69">
        <v>0</v>
      </c>
      <c r="AO69">
        <v>0</v>
      </c>
      <c r="AP69">
        <v>15120</v>
      </c>
      <c r="AT69" t="str">
        <f>T("9791164370467")</f>
        <v>9791164370467</v>
      </c>
      <c r="AV69" t="str">
        <f>T("BL 소설 e북 &gt; 현대물")</f>
        <v>BL 소설 e북 &gt; 현대물</v>
      </c>
    </row>
    <row r="70" spans="1:49" x14ac:dyDescent="0.4">
      <c r="A70">
        <v>2313006989</v>
      </c>
      <c r="B70">
        <v>2313006992</v>
      </c>
      <c r="C70" t="str">
        <f>T("[e북]로드 오브 머니 4권")</f>
        <v>[e북]로드 오브 머니 4권</v>
      </c>
      <c r="D70" t="str">
        <f>T("4")</f>
        <v>4</v>
      </c>
      <c r="E70" t="str">
        <f t="shared" ref="E70:E80" si="11">T("무장")</f>
        <v>무장</v>
      </c>
      <c r="H70" t="str">
        <f t="shared" ref="H70:H80" si="12">T("스토리위즈")</f>
        <v>스토리위즈</v>
      </c>
      <c r="I70" t="str">
        <f>T("[e북]로드 오브 머니")</f>
        <v>[e북]로드 오브 머니</v>
      </c>
      <c r="J70">
        <v>3200</v>
      </c>
      <c r="K70">
        <v>22400</v>
      </c>
      <c r="L70">
        <v>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22400</v>
      </c>
      <c r="AH70">
        <v>7</v>
      </c>
      <c r="AI70">
        <v>0</v>
      </c>
      <c r="AJ70">
        <v>0</v>
      </c>
      <c r="AK70">
        <v>22400</v>
      </c>
      <c r="AL70">
        <v>0</v>
      </c>
      <c r="AM70">
        <v>0</v>
      </c>
      <c r="AN70">
        <v>0</v>
      </c>
      <c r="AO70">
        <v>0</v>
      </c>
      <c r="AP70">
        <v>15680</v>
      </c>
      <c r="AT70" t="str">
        <f>T("9791188630134")</f>
        <v>9791188630134</v>
      </c>
      <c r="AV70" t="str">
        <f t="shared" ref="AV70:AV80" si="13">T("판타지 e북 &gt; 현대 판타지")</f>
        <v>판타지 e북 &gt; 현대 판타지</v>
      </c>
    </row>
    <row r="71" spans="1:49" x14ac:dyDescent="0.4">
      <c r="A71">
        <v>2313006989</v>
      </c>
      <c r="B71">
        <v>2313006994</v>
      </c>
      <c r="C71" t="str">
        <f>T("[e북]로드 오브 머니 6권")</f>
        <v>[e북]로드 오브 머니 6권</v>
      </c>
      <c r="D71" t="str">
        <f>T("6")</f>
        <v>6</v>
      </c>
      <c r="E71" t="str">
        <f t="shared" si="11"/>
        <v>무장</v>
      </c>
      <c r="H71" t="str">
        <f t="shared" si="12"/>
        <v>스토리위즈</v>
      </c>
      <c r="I71" t="str">
        <f>T("[e북]로드 오브 머니")</f>
        <v>[e북]로드 오브 머니</v>
      </c>
      <c r="J71">
        <v>3200</v>
      </c>
      <c r="K71">
        <v>22400</v>
      </c>
      <c r="L71">
        <v>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22400</v>
      </c>
      <c r="AH71">
        <v>7</v>
      </c>
      <c r="AI71">
        <v>0</v>
      </c>
      <c r="AJ71">
        <v>0</v>
      </c>
      <c r="AK71">
        <v>22400</v>
      </c>
      <c r="AL71">
        <v>0</v>
      </c>
      <c r="AM71">
        <v>0</v>
      </c>
      <c r="AN71">
        <v>0</v>
      </c>
      <c r="AO71">
        <v>0</v>
      </c>
      <c r="AP71">
        <v>15680</v>
      </c>
      <c r="AT71" t="str">
        <f>T("9791188630158")</f>
        <v>9791188630158</v>
      </c>
      <c r="AV71" t="str">
        <f t="shared" si="13"/>
        <v>판타지 e북 &gt; 현대 판타지</v>
      </c>
    </row>
    <row r="72" spans="1:49" x14ac:dyDescent="0.4">
      <c r="A72">
        <v>2313006989</v>
      </c>
      <c r="B72">
        <v>2313006995</v>
      </c>
      <c r="C72" t="str">
        <f>T("[e북]로드 오브 머니 7권")</f>
        <v>[e북]로드 오브 머니 7권</v>
      </c>
      <c r="D72" t="str">
        <f>T("7")</f>
        <v>7</v>
      </c>
      <c r="E72" t="str">
        <f t="shared" si="11"/>
        <v>무장</v>
      </c>
      <c r="H72" t="str">
        <f t="shared" si="12"/>
        <v>스토리위즈</v>
      </c>
      <c r="I72" t="str">
        <f>T("[e북]로드 오브 머니")</f>
        <v>[e북]로드 오브 머니</v>
      </c>
      <c r="J72">
        <v>3200</v>
      </c>
      <c r="K72">
        <v>22400</v>
      </c>
      <c r="L72">
        <v>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22400</v>
      </c>
      <c r="AH72">
        <v>7</v>
      </c>
      <c r="AI72">
        <v>0</v>
      </c>
      <c r="AJ72">
        <v>0</v>
      </c>
      <c r="AK72">
        <v>22400</v>
      </c>
      <c r="AL72">
        <v>0</v>
      </c>
      <c r="AM72">
        <v>0</v>
      </c>
      <c r="AN72">
        <v>0</v>
      </c>
      <c r="AO72">
        <v>0</v>
      </c>
      <c r="AP72">
        <v>15680</v>
      </c>
      <c r="AT72" t="str">
        <f>T("9791188630165")</f>
        <v>9791188630165</v>
      </c>
      <c r="AV72" t="str">
        <f t="shared" si="13"/>
        <v>판타지 e북 &gt; 현대 판타지</v>
      </c>
    </row>
    <row r="73" spans="1:49" x14ac:dyDescent="0.4">
      <c r="A73">
        <v>2313006989</v>
      </c>
      <c r="B73">
        <v>2313006996</v>
      </c>
      <c r="C73" t="str">
        <f>T("[e북]로드 오브 머니 8권")</f>
        <v>[e북]로드 오브 머니 8권</v>
      </c>
      <c r="D73" t="str">
        <f>T("8")</f>
        <v>8</v>
      </c>
      <c r="E73" t="str">
        <f t="shared" si="11"/>
        <v>무장</v>
      </c>
      <c r="H73" t="str">
        <f t="shared" si="12"/>
        <v>스토리위즈</v>
      </c>
      <c r="I73" t="str">
        <f>T("[e북]로드 오브 머니")</f>
        <v>[e북]로드 오브 머니</v>
      </c>
      <c r="J73">
        <v>3200</v>
      </c>
      <c r="K73">
        <v>22400</v>
      </c>
      <c r="L73">
        <v>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22400</v>
      </c>
      <c r="AH73">
        <v>7</v>
      </c>
      <c r="AI73">
        <v>0</v>
      </c>
      <c r="AJ73">
        <v>0</v>
      </c>
      <c r="AK73">
        <v>22400</v>
      </c>
      <c r="AL73">
        <v>0</v>
      </c>
      <c r="AM73">
        <v>0</v>
      </c>
      <c r="AN73">
        <v>0</v>
      </c>
      <c r="AO73">
        <v>0</v>
      </c>
      <c r="AP73">
        <v>15680</v>
      </c>
      <c r="AT73" t="str">
        <f>T("9791188630172")</f>
        <v>9791188630172</v>
      </c>
      <c r="AV73" t="str">
        <f t="shared" si="13"/>
        <v>판타지 e북 &gt; 현대 판타지</v>
      </c>
    </row>
    <row r="74" spans="1:49" x14ac:dyDescent="0.4">
      <c r="A74">
        <v>2313006989</v>
      </c>
      <c r="B74">
        <v>2313006997</v>
      </c>
      <c r="C74" t="str">
        <f>T("[e북]로드 오브 머니 9권")</f>
        <v>[e북]로드 오브 머니 9권</v>
      </c>
      <c r="D74" t="str">
        <f>T("9")</f>
        <v>9</v>
      </c>
      <c r="E74" t="str">
        <f t="shared" si="11"/>
        <v>무장</v>
      </c>
      <c r="H74" t="str">
        <f t="shared" si="12"/>
        <v>스토리위즈</v>
      </c>
      <c r="I74" t="str">
        <f>T("[e북]로드 오브 머니")</f>
        <v>[e북]로드 오브 머니</v>
      </c>
      <c r="J74">
        <v>3200</v>
      </c>
      <c r="K74">
        <v>22400</v>
      </c>
      <c r="L74">
        <v>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22400</v>
      </c>
      <c r="AH74">
        <v>7</v>
      </c>
      <c r="AI74">
        <v>0</v>
      </c>
      <c r="AJ74">
        <v>0</v>
      </c>
      <c r="AK74">
        <v>22400</v>
      </c>
      <c r="AL74">
        <v>0</v>
      </c>
      <c r="AM74">
        <v>0</v>
      </c>
      <c r="AN74">
        <v>0</v>
      </c>
      <c r="AO74">
        <v>0</v>
      </c>
      <c r="AP74">
        <v>15680</v>
      </c>
      <c r="AT74" t="str">
        <f>T("9791188630189")</f>
        <v>9791188630189</v>
      </c>
      <c r="AV74" t="str">
        <f t="shared" si="13"/>
        <v>판타지 e북 &gt; 현대 판타지</v>
      </c>
    </row>
    <row r="75" spans="1:49" x14ac:dyDescent="0.4">
      <c r="A75">
        <v>2313011938</v>
      </c>
      <c r="B75">
        <v>2313011939</v>
      </c>
      <c r="C75" t="str">
        <f>T("[e북]최종 보스 : 빛을 향해 달리는 그림자 1부 2권")</f>
        <v>[e북]최종 보스 : 빛을 향해 달리는 그림자 1부 2권</v>
      </c>
      <c r="D75" t="str">
        <f>T("2")</f>
        <v>2</v>
      </c>
      <c r="E75" t="str">
        <f t="shared" si="11"/>
        <v>무장</v>
      </c>
      <c r="H75" t="str">
        <f t="shared" si="12"/>
        <v>스토리위즈</v>
      </c>
      <c r="I75" t="str">
        <f t="shared" ref="I75:I80" si="14">T("[e북]최종 보스 : 빛을 향해 달리는 그림자")</f>
        <v>[e북]최종 보스 : 빛을 향해 달리는 그림자</v>
      </c>
      <c r="J75">
        <v>3200</v>
      </c>
      <c r="K75">
        <v>22400</v>
      </c>
      <c r="L75">
        <v>7</v>
      </c>
      <c r="M75">
        <v>0</v>
      </c>
      <c r="N75">
        <v>162990</v>
      </c>
      <c r="O75">
        <v>215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-630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185390</v>
      </c>
      <c r="AH75">
        <v>222</v>
      </c>
      <c r="AI75">
        <v>-630</v>
      </c>
      <c r="AJ75">
        <v>1</v>
      </c>
      <c r="AK75">
        <v>182977</v>
      </c>
      <c r="AL75">
        <v>-630</v>
      </c>
      <c r="AM75">
        <v>2895.6</v>
      </c>
      <c r="AN75">
        <v>-868.68</v>
      </c>
      <c r="AO75">
        <v>0</v>
      </c>
      <c r="AP75">
        <v>129061.74</v>
      </c>
      <c r="AT75" t="str">
        <f>T("9791137601024")</f>
        <v>9791137601024</v>
      </c>
      <c r="AV75" t="str">
        <f t="shared" si="13"/>
        <v>판타지 e북 &gt; 현대 판타지</v>
      </c>
    </row>
    <row r="76" spans="1:49" x14ac:dyDescent="0.4">
      <c r="A76">
        <v>2313011938</v>
      </c>
      <c r="B76">
        <v>2313011942</v>
      </c>
      <c r="C76" t="str">
        <f>T("[e북]최종 보스 : 빛을 향해 달리는 그림자 1부 5권")</f>
        <v>[e북]최종 보스 : 빛을 향해 달리는 그림자 1부 5권</v>
      </c>
      <c r="D76" t="str">
        <f>T("5")</f>
        <v>5</v>
      </c>
      <c r="E76" t="str">
        <f t="shared" si="11"/>
        <v>무장</v>
      </c>
      <c r="H76" t="str">
        <f t="shared" si="12"/>
        <v>스토리위즈</v>
      </c>
      <c r="I76" t="str">
        <f t="shared" si="14"/>
        <v>[e북]최종 보스 : 빛을 향해 달리는 그림자</v>
      </c>
      <c r="J76">
        <v>3200</v>
      </c>
      <c r="K76">
        <v>22400</v>
      </c>
      <c r="L76">
        <v>7</v>
      </c>
      <c r="M76">
        <v>0</v>
      </c>
      <c r="N76">
        <v>134190</v>
      </c>
      <c r="O76">
        <v>183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-1530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156590</v>
      </c>
      <c r="AH76">
        <v>190</v>
      </c>
      <c r="AI76">
        <v>-1530</v>
      </c>
      <c r="AJ76">
        <v>2</v>
      </c>
      <c r="AK76">
        <v>155977</v>
      </c>
      <c r="AL76">
        <v>-1530</v>
      </c>
      <c r="AM76">
        <v>735.6</v>
      </c>
      <c r="AN76">
        <v>-220.68</v>
      </c>
      <c r="AO76">
        <v>0</v>
      </c>
      <c r="AP76">
        <v>108473.34</v>
      </c>
      <c r="AT76" t="str">
        <f>T("9791137601055")</f>
        <v>9791137601055</v>
      </c>
      <c r="AV76" t="str">
        <f t="shared" si="13"/>
        <v>판타지 e북 &gt; 현대 판타지</v>
      </c>
    </row>
    <row r="77" spans="1:49" x14ac:dyDescent="0.4">
      <c r="A77">
        <v>2313011938</v>
      </c>
      <c r="B77">
        <v>2313011945</v>
      </c>
      <c r="C77" t="str">
        <f>T("[e북]최종 보스 : 빛을 향해 달리는 그림자 1부 8권")</f>
        <v>[e북]최종 보스 : 빛을 향해 달리는 그림자 1부 8권</v>
      </c>
      <c r="D77" t="str">
        <f>T("8")</f>
        <v>8</v>
      </c>
      <c r="E77" t="str">
        <f t="shared" si="11"/>
        <v>무장</v>
      </c>
      <c r="H77" t="str">
        <f t="shared" si="12"/>
        <v>스토리위즈</v>
      </c>
      <c r="I77" t="str">
        <f t="shared" si="14"/>
        <v>[e북]최종 보스 : 빛을 향해 달리는 그림자</v>
      </c>
      <c r="J77">
        <v>3200</v>
      </c>
      <c r="K77">
        <v>22400</v>
      </c>
      <c r="L77">
        <v>7</v>
      </c>
      <c r="M77">
        <v>0</v>
      </c>
      <c r="N77">
        <v>119790</v>
      </c>
      <c r="O77">
        <v>167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-630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142190</v>
      </c>
      <c r="AH77">
        <v>174</v>
      </c>
      <c r="AI77">
        <v>-630</v>
      </c>
      <c r="AJ77">
        <v>1</v>
      </c>
      <c r="AK77">
        <v>141578</v>
      </c>
      <c r="AL77">
        <v>-630</v>
      </c>
      <c r="AM77">
        <v>734.4</v>
      </c>
      <c r="AN77">
        <v>-220.32</v>
      </c>
      <c r="AO77">
        <v>0</v>
      </c>
      <c r="AP77">
        <v>99023.45</v>
      </c>
      <c r="AT77" t="str">
        <f>T("9791137601086")</f>
        <v>9791137601086</v>
      </c>
      <c r="AV77" t="str">
        <f t="shared" si="13"/>
        <v>판타지 e북 &gt; 현대 판타지</v>
      </c>
    </row>
    <row r="78" spans="1:49" x14ac:dyDescent="0.4">
      <c r="A78">
        <v>2313011938</v>
      </c>
      <c r="B78">
        <v>2313011947</v>
      </c>
      <c r="C78" t="str">
        <f>T("[e북]최종 보스 : 빛을 향해 달리는 그림자 1부 10권")</f>
        <v>[e북]최종 보스 : 빛을 향해 달리는 그림자 1부 10권</v>
      </c>
      <c r="D78" t="str">
        <f>T("10")</f>
        <v>10</v>
      </c>
      <c r="E78" t="str">
        <f t="shared" si="11"/>
        <v>무장</v>
      </c>
      <c r="H78" t="str">
        <f t="shared" si="12"/>
        <v>스토리위즈</v>
      </c>
      <c r="I78" t="str">
        <f t="shared" si="14"/>
        <v>[e북]최종 보스 : 빛을 향해 달리는 그림자</v>
      </c>
      <c r="J78">
        <v>3200</v>
      </c>
      <c r="K78">
        <v>22400</v>
      </c>
      <c r="L78">
        <v>7</v>
      </c>
      <c r="M78">
        <v>0</v>
      </c>
      <c r="N78">
        <v>111690</v>
      </c>
      <c r="O78">
        <v>158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-630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134090</v>
      </c>
      <c r="AH78">
        <v>165</v>
      </c>
      <c r="AI78">
        <v>-630</v>
      </c>
      <c r="AJ78">
        <v>1</v>
      </c>
      <c r="AK78">
        <v>133478</v>
      </c>
      <c r="AL78">
        <v>-630</v>
      </c>
      <c r="AM78">
        <v>734.4</v>
      </c>
      <c r="AN78">
        <v>-220.32</v>
      </c>
      <c r="AO78">
        <v>0</v>
      </c>
      <c r="AP78">
        <v>93353.45</v>
      </c>
      <c r="AT78" t="str">
        <f>T("9791137601109")</f>
        <v>9791137601109</v>
      </c>
      <c r="AV78" t="str">
        <f t="shared" si="13"/>
        <v>판타지 e북 &gt; 현대 판타지</v>
      </c>
    </row>
    <row r="79" spans="1:49" x14ac:dyDescent="0.4">
      <c r="A79">
        <v>2313011938</v>
      </c>
      <c r="B79">
        <v>2313011948</v>
      </c>
      <c r="C79" t="str">
        <f>T("[e북]최종 보스 : 빛을 향해 달리는 그림자 1부 11권")</f>
        <v>[e북]최종 보스 : 빛을 향해 달리는 그림자 1부 11권</v>
      </c>
      <c r="D79" t="str">
        <f>T("11")</f>
        <v>11</v>
      </c>
      <c r="E79" t="str">
        <f t="shared" si="11"/>
        <v>무장</v>
      </c>
      <c r="H79" t="str">
        <f t="shared" si="12"/>
        <v>스토리위즈</v>
      </c>
      <c r="I79" t="str">
        <f t="shared" si="14"/>
        <v>[e북]최종 보스 : 빛을 향해 달리는 그림자</v>
      </c>
      <c r="J79">
        <v>3200</v>
      </c>
      <c r="K79">
        <v>22400</v>
      </c>
      <c r="L79">
        <v>7</v>
      </c>
      <c r="M79">
        <v>0</v>
      </c>
      <c r="N79">
        <v>110790</v>
      </c>
      <c r="O79">
        <v>157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-630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133190</v>
      </c>
      <c r="AH79">
        <v>164</v>
      </c>
      <c r="AI79">
        <v>-630</v>
      </c>
      <c r="AJ79">
        <v>1</v>
      </c>
      <c r="AK79">
        <v>132578</v>
      </c>
      <c r="AL79">
        <v>-630</v>
      </c>
      <c r="AM79">
        <v>734.4</v>
      </c>
      <c r="AN79">
        <v>-220.32</v>
      </c>
      <c r="AO79">
        <v>0</v>
      </c>
      <c r="AP79">
        <v>92723.45</v>
      </c>
      <c r="AT79" t="str">
        <f>T("9791137601116")</f>
        <v>9791137601116</v>
      </c>
      <c r="AV79" t="str">
        <f t="shared" si="13"/>
        <v>판타지 e북 &gt; 현대 판타지</v>
      </c>
    </row>
    <row r="80" spans="1:49" x14ac:dyDescent="0.4">
      <c r="A80">
        <v>2313011938</v>
      </c>
      <c r="B80">
        <v>2313015164</v>
      </c>
      <c r="C80" t="str">
        <f>T("[e북]최종 보스 : 빛을 향해 달리는 그림자 2부 19권")</f>
        <v>[e북]최종 보스 : 빛을 향해 달리는 그림자 2부 19권</v>
      </c>
      <c r="D80" t="str">
        <f>T("19")</f>
        <v>19</v>
      </c>
      <c r="E80" t="str">
        <f t="shared" si="11"/>
        <v>무장</v>
      </c>
      <c r="H80" t="str">
        <f t="shared" si="12"/>
        <v>스토리위즈</v>
      </c>
      <c r="I80" t="str">
        <f t="shared" si="14"/>
        <v>[e북]최종 보스 : 빛을 향해 달리는 그림자</v>
      </c>
      <c r="J80">
        <v>3200</v>
      </c>
      <c r="K80">
        <v>22400</v>
      </c>
      <c r="L80">
        <v>7</v>
      </c>
      <c r="M80">
        <v>0</v>
      </c>
      <c r="N80">
        <v>146790</v>
      </c>
      <c r="O80">
        <v>197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-1530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169190</v>
      </c>
      <c r="AH80">
        <v>204</v>
      </c>
      <c r="AI80">
        <v>-1530</v>
      </c>
      <c r="AJ80">
        <v>2</v>
      </c>
      <c r="AK80">
        <v>166778</v>
      </c>
      <c r="AL80">
        <v>-1530</v>
      </c>
      <c r="AM80">
        <v>2894.4</v>
      </c>
      <c r="AN80">
        <v>-868.32</v>
      </c>
      <c r="AO80">
        <v>0</v>
      </c>
      <c r="AP80">
        <v>117091.85</v>
      </c>
      <c r="AT80" t="str">
        <f>T("9791137601178")</f>
        <v>9791137601178</v>
      </c>
      <c r="AV80" t="str">
        <f t="shared" si="13"/>
        <v>판타지 e북 &gt; 현대 판타지</v>
      </c>
    </row>
    <row r="81" spans="1:49" x14ac:dyDescent="0.4">
      <c r="A81">
        <v>2313017081</v>
      </c>
      <c r="B81">
        <v>2313017080</v>
      </c>
      <c r="C81" t="str">
        <f>T("[e북]골 때리는 사랑 2권 (완결)")</f>
        <v>[e북]골 때리는 사랑 2권 (완결)</v>
      </c>
      <c r="D81" t="str">
        <f>T("2")</f>
        <v>2</v>
      </c>
      <c r="E81" t="str">
        <f>T("모리미")</f>
        <v>모리미</v>
      </c>
      <c r="H81" t="str">
        <f>T("도서출판 태랑")</f>
        <v>도서출판 태랑</v>
      </c>
      <c r="I81" t="str">
        <f>T("[e북]골 때리는 사랑")</f>
        <v>[e북]골 때리는 사랑</v>
      </c>
      <c r="J81">
        <v>2800</v>
      </c>
      <c r="K81">
        <v>22400</v>
      </c>
      <c r="L81">
        <v>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22400</v>
      </c>
      <c r="AH81">
        <v>8</v>
      </c>
      <c r="AI81">
        <v>0</v>
      </c>
      <c r="AJ81">
        <v>0</v>
      </c>
      <c r="AK81">
        <v>22400</v>
      </c>
      <c r="AL81">
        <v>0</v>
      </c>
      <c r="AM81">
        <v>0</v>
      </c>
      <c r="AN81">
        <v>0</v>
      </c>
      <c r="AO81">
        <v>0</v>
      </c>
      <c r="AP81">
        <v>15680</v>
      </c>
      <c r="AT81" t="str">
        <f>T("9791164370498")</f>
        <v>9791164370498</v>
      </c>
      <c r="AV81" t="str">
        <f>T("BL 소설 e북 &gt; 현대물")</f>
        <v>BL 소설 e북 &gt; 현대물</v>
      </c>
    </row>
    <row r="82" spans="1:49" x14ac:dyDescent="0.4">
      <c r="A82">
        <v>2313018089</v>
      </c>
      <c r="B82">
        <v>2313018094</v>
      </c>
      <c r="C82" t="str">
        <f>T("[e북]신들의 알바나라 6권")</f>
        <v>[e북]신들의 알바나라 6권</v>
      </c>
      <c r="D82" t="str">
        <f>T("6")</f>
        <v>6</v>
      </c>
      <c r="E82" t="str">
        <f>T("갓띵작")</f>
        <v>갓띵작</v>
      </c>
      <c r="H82" t="str">
        <f t="shared" ref="H82:H92" si="15">T("스토리위즈")</f>
        <v>스토리위즈</v>
      </c>
      <c r="I82" t="str">
        <f>T("[e북]신들의 알바나라")</f>
        <v>[e북]신들의 알바나라</v>
      </c>
      <c r="J82">
        <v>3200</v>
      </c>
      <c r="K82">
        <v>22400</v>
      </c>
      <c r="L82">
        <v>7</v>
      </c>
      <c r="M82">
        <v>0</v>
      </c>
      <c r="N82">
        <v>27990</v>
      </c>
      <c r="O82">
        <v>34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50390</v>
      </c>
      <c r="AH82">
        <v>41</v>
      </c>
      <c r="AI82">
        <v>0</v>
      </c>
      <c r="AJ82">
        <v>0</v>
      </c>
      <c r="AK82">
        <v>50390</v>
      </c>
      <c r="AL82">
        <v>0</v>
      </c>
      <c r="AM82">
        <v>0</v>
      </c>
      <c r="AN82">
        <v>0</v>
      </c>
      <c r="AO82">
        <v>0</v>
      </c>
      <c r="AP82">
        <v>35273</v>
      </c>
      <c r="AT82" t="str">
        <f>T("9791137604544")</f>
        <v>9791137604544</v>
      </c>
      <c r="AV82" t="str">
        <f>T("판타지 e북 &gt; 퓨전 판타지")</f>
        <v>판타지 e북 &gt; 퓨전 판타지</v>
      </c>
    </row>
    <row r="83" spans="1:49" x14ac:dyDescent="0.4">
      <c r="A83">
        <v>2313018089</v>
      </c>
      <c r="B83">
        <v>2313018095</v>
      </c>
      <c r="C83" t="str">
        <f>T("[e북]신들의 알바나라 7권")</f>
        <v>[e북]신들의 알바나라 7권</v>
      </c>
      <c r="D83" t="str">
        <f>T("7")</f>
        <v>7</v>
      </c>
      <c r="E83" t="str">
        <f>T("갓띵작")</f>
        <v>갓띵작</v>
      </c>
      <c r="H83" t="str">
        <f t="shared" si="15"/>
        <v>스토리위즈</v>
      </c>
      <c r="I83" t="str">
        <f>T("[e북]신들의 알바나라")</f>
        <v>[e북]신들의 알바나라</v>
      </c>
      <c r="J83">
        <v>3200</v>
      </c>
      <c r="K83">
        <v>22400</v>
      </c>
      <c r="L83">
        <v>7</v>
      </c>
      <c r="M83">
        <v>0</v>
      </c>
      <c r="N83">
        <v>27090</v>
      </c>
      <c r="O83">
        <v>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49490</v>
      </c>
      <c r="AH83">
        <v>40</v>
      </c>
      <c r="AI83">
        <v>0</v>
      </c>
      <c r="AJ83">
        <v>0</v>
      </c>
      <c r="AK83">
        <v>49490</v>
      </c>
      <c r="AL83">
        <v>0</v>
      </c>
      <c r="AM83">
        <v>0</v>
      </c>
      <c r="AN83">
        <v>0</v>
      </c>
      <c r="AO83">
        <v>0</v>
      </c>
      <c r="AP83">
        <v>34643</v>
      </c>
      <c r="AT83" t="str">
        <f>T("9791137604551")</f>
        <v>9791137604551</v>
      </c>
      <c r="AV83" t="str">
        <f>T("판타지 e북 &gt; 퓨전 판타지")</f>
        <v>판타지 e북 &gt; 퓨전 판타지</v>
      </c>
    </row>
    <row r="84" spans="1:49" x14ac:dyDescent="0.4">
      <c r="A84">
        <v>2313018089</v>
      </c>
      <c r="B84">
        <v>2313018096</v>
      </c>
      <c r="C84" t="str">
        <f>T("[e북]신들의 알바나라 8권 (완결)")</f>
        <v>[e북]신들의 알바나라 8권 (완결)</v>
      </c>
      <c r="D84" t="str">
        <f>T("8")</f>
        <v>8</v>
      </c>
      <c r="E84" t="str">
        <f>T("갓띵작")</f>
        <v>갓띵작</v>
      </c>
      <c r="H84" t="str">
        <f t="shared" si="15"/>
        <v>스토리위즈</v>
      </c>
      <c r="I84" t="str">
        <f>T("[e북]신들의 알바나라")</f>
        <v>[e북]신들의 알바나라</v>
      </c>
      <c r="J84">
        <v>3200</v>
      </c>
      <c r="K84">
        <v>22400</v>
      </c>
      <c r="L84">
        <v>7</v>
      </c>
      <c r="M84">
        <v>0</v>
      </c>
      <c r="N84">
        <v>27090</v>
      </c>
      <c r="O84">
        <v>33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49490</v>
      </c>
      <c r="AH84">
        <v>40</v>
      </c>
      <c r="AI84">
        <v>0</v>
      </c>
      <c r="AJ84">
        <v>0</v>
      </c>
      <c r="AK84">
        <v>49490</v>
      </c>
      <c r="AL84">
        <v>0</v>
      </c>
      <c r="AM84">
        <v>0</v>
      </c>
      <c r="AN84">
        <v>0</v>
      </c>
      <c r="AO84">
        <v>0</v>
      </c>
      <c r="AP84">
        <v>34643</v>
      </c>
      <c r="AT84" t="str">
        <f>T("9791137604568")</f>
        <v>9791137604568</v>
      </c>
      <c r="AV84" t="str">
        <f>T("판타지 e북 &gt; 퓨전 판타지")</f>
        <v>판타지 e북 &gt; 퓨전 판타지</v>
      </c>
    </row>
    <row r="85" spans="1:49" x14ac:dyDescent="0.4">
      <c r="A85">
        <v>2313012817</v>
      </c>
      <c r="B85">
        <v>2313012828</v>
      </c>
      <c r="C85" t="str">
        <f>T("[e북]갓 오브 블랙필드 12권")</f>
        <v>[e북]갓 오브 블랙필드 12권</v>
      </c>
      <c r="D85" t="str">
        <f>T("12")</f>
        <v>12</v>
      </c>
      <c r="E85" t="str">
        <f t="shared" ref="E85:E92" si="16">T("무장")</f>
        <v>무장</v>
      </c>
      <c r="H85" t="str">
        <f t="shared" si="15"/>
        <v>스토리위즈</v>
      </c>
      <c r="I85" t="str">
        <f t="shared" ref="I85:I92" si="17">T("[e북]갓 오브 블랙필드")</f>
        <v>[e북]갓 오브 블랙필드</v>
      </c>
      <c r="J85">
        <v>3200</v>
      </c>
      <c r="K85">
        <v>22080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22080</v>
      </c>
      <c r="AH85">
        <v>7</v>
      </c>
      <c r="AI85">
        <v>0</v>
      </c>
      <c r="AJ85">
        <v>0</v>
      </c>
      <c r="AK85">
        <v>22080</v>
      </c>
      <c r="AL85">
        <v>0</v>
      </c>
      <c r="AM85">
        <v>0</v>
      </c>
      <c r="AN85">
        <v>0</v>
      </c>
      <c r="AO85">
        <v>0</v>
      </c>
      <c r="AP85">
        <v>15456</v>
      </c>
      <c r="AR85" t="str">
        <f t="shared" ref="AR85:AR92" si="18">T("0000000000000")</f>
        <v>0000000000000</v>
      </c>
      <c r="AT85" t="str">
        <f>T("9791137602274")</f>
        <v>9791137602274</v>
      </c>
      <c r="AV85" t="str">
        <f t="shared" ref="AV85:AV92" si="19">T("판타지 e북 &gt; 현대 판타지")</f>
        <v>판타지 e북 &gt; 현대 판타지</v>
      </c>
    </row>
    <row r="86" spans="1:49" x14ac:dyDescent="0.4">
      <c r="A86">
        <v>2313012817</v>
      </c>
      <c r="B86">
        <v>2313012829</v>
      </c>
      <c r="C86" t="str">
        <f>T("[e북]갓 오브 블랙필드 13권")</f>
        <v>[e북]갓 오브 블랙필드 13권</v>
      </c>
      <c r="D86" t="str">
        <f>T("13")</f>
        <v>13</v>
      </c>
      <c r="E86" t="str">
        <f t="shared" si="16"/>
        <v>무장</v>
      </c>
      <c r="H86" t="str">
        <f t="shared" si="15"/>
        <v>스토리위즈</v>
      </c>
      <c r="I86" t="str">
        <f t="shared" si="17"/>
        <v>[e북]갓 오브 블랙필드</v>
      </c>
      <c r="J86">
        <v>3200</v>
      </c>
      <c r="K86">
        <v>22080</v>
      </c>
      <c r="L86">
        <v>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22080</v>
      </c>
      <c r="AH86">
        <v>7</v>
      </c>
      <c r="AI86">
        <v>0</v>
      </c>
      <c r="AJ86">
        <v>0</v>
      </c>
      <c r="AK86">
        <v>22080</v>
      </c>
      <c r="AL86">
        <v>0</v>
      </c>
      <c r="AM86">
        <v>0</v>
      </c>
      <c r="AN86">
        <v>0</v>
      </c>
      <c r="AO86">
        <v>0</v>
      </c>
      <c r="AP86">
        <v>15456</v>
      </c>
      <c r="AR86" t="str">
        <f t="shared" si="18"/>
        <v>0000000000000</v>
      </c>
      <c r="AT86" t="str">
        <f>T("9791137602281")</f>
        <v>9791137602281</v>
      </c>
      <c r="AV86" t="str">
        <f t="shared" si="19"/>
        <v>판타지 e북 &gt; 현대 판타지</v>
      </c>
    </row>
    <row r="87" spans="1:49" x14ac:dyDescent="0.4">
      <c r="A87">
        <v>2313012817</v>
      </c>
      <c r="B87">
        <v>2313012830</v>
      </c>
      <c r="C87" t="str">
        <f>T("[e북]갓 오브 블랙필드 14권")</f>
        <v>[e북]갓 오브 블랙필드 14권</v>
      </c>
      <c r="D87" t="str">
        <f>T("14")</f>
        <v>14</v>
      </c>
      <c r="E87" t="str">
        <f t="shared" si="16"/>
        <v>무장</v>
      </c>
      <c r="H87" t="str">
        <f t="shared" si="15"/>
        <v>스토리위즈</v>
      </c>
      <c r="I87" t="str">
        <f t="shared" si="17"/>
        <v>[e북]갓 오브 블랙필드</v>
      </c>
      <c r="J87">
        <v>3200</v>
      </c>
      <c r="K87">
        <v>22080</v>
      </c>
      <c r="L87">
        <v>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22080</v>
      </c>
      <c r="AH87">
        <v>7</v>
      </c>
      <c r="AI87">
        <v>0</v>
      </c>
      <c r="AJ87">
        <v>0</v>
      </c>
      <c r="AK87">
        <v>22080</v>
      </c>
      <c r="AL87">
        <v>0</v>
      </c>
      <c r="AM87">
        <v>0</v>
      </c>
      <c r="AN87">
        <v>0</v>
      </c>
      <c r="AO87">
        <v>0</v>
      </c>
      <c r="AP87">
        <v>15456</v>
      </c>
      <c r="AR87" t="str">
        <f t="shared" si="18"/>
        <v>0000000000000</v>
      </c>
      <c r="AT87" t="str">
        <f>T("9791137602298")</f>
        <v>9791137602298</v>
      </c>
      <c r="AV87" t="str">
        <f t="shared" si="19"/>
        <v>판타지 e북 &gt; 현대 판타지</v>
      </c>
    </row>
    <row r="88" spans="1:49" x14ac:dyDescent="0.4">
      <c r="A88">
        <v>2313012817</v>
      </c>
      <c r="B88">
        <v>2313012831</v>
      </c>
      <c r="C88" t="str">
        <f>T("[e북]갓 오브 블랙필드 15권")</f>
        <v>[e북]갓 오브 블랙필드 15권</v>
      </c>
      <c r="D88" t="str">
        <f>T("15")</f>
        <v>15</v>
      </c>
      <c r="E88" t="str">
        <f t="shared" si="16"/>
        <v>무장</v>
      </c>
      <c r="H88" t="str">
        <f t="shared" si="15"/>
        <v>스토리위즈</v>
      </c>
      <c r="I88" t="str">
        <f t="shared" si="17"/>
        <v>[e북]갓 오브 블랙필드</v>
      </c>
      <c r="J88">
        <v>3200</v>
      </c>
      <c r="K88">
        <v>22080</v>
      </c>
      <c r="L88">
        <v>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22080</v>
      </c>
      <c r="AH88">
        <v>7</v>
      </c>
      <c r="AI88">
        <v>0</v>
      </c>
      <c r="AJ88">
        <v>0</v>
      </c>
      <c r="AK88">
        <v>22080</v>
      </c>
      <c r="AL88">
        <v>0</v>
      </c>
      <c r="AM88">
        <v>0</v>
      </c>
      <c r="AN88">
        <v>0</v>
      </c>
      <c r="AO88">
        <v>0</v>
      </c>
      <c r="AP88">
        <v>15456</v>
      </c>
      <c r="AR88" t="str">
        <f t="shared" si="18"/>
        <v>0000000000000</v>
      </c>
      <c r="AT88" t="str">
        <f>T("9791137602304")</f>
        <v>9791137602304</v>
      </c>
      <c r="AV88" t="str">
        <f t="shared" si="19"/>
        <v>판타지 e북 &gt; 현대 판타지</v>
      </c>
    </row>
    <row r="89" spans="1:49" x14ac:dyDescent="0.4">
      <c r="A89">
        <v>2313012817</v>
      </c>
      <c r="B89">
        <v>2313012832</v>
      </c>
      <c r="C89" t="str">
        <f>T("[e북]갓 오브 블랙필드 16권")</f>
        <v>[e북]갓 오브 블랙필드 16권</v>
      </c>
      <c r="D89" t="str">
        <f>T("16")</f>
        <v>16</v>
      </c>
      <c r="E89" t="str">
        <f t="shared" si="16"/>
        <v>무장</v>
      </c>
      <c r="H89" t="str">
        <f t="shared" si="15"/>
        <v>스토리위즈</v>
      </c>
      <c r="I89" t="str">
        <f t="shared" si="17"/>
        <v>[e북]갓 오브 블랙필드</v>
      </c>
      <c r="J89">
        <v>3200</v>
      </c>
      <c r="K89">
        <v>22080</v>
      </c>
      <c r="L89">
        <v>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22080</v>
      </c>
      <c r="AH89">
        <v>7</v>
      </c>
      <c r="AI89">
        <v>0</v>
      </c>
      <c r="AJ89">
        <v>0</v>
      </c>
      <c r="AK89">
        <v>22080</v>
      </c>
      <c r="AL89">
        <v>0</v>
      </c>
      <c r="AM89">
        <v>0</v>
      </c>
      <c r="AN89">
        <v>0</v>
      </c>
      <c r="AO89">
        <v>0</v>
      </c>
      <c r="AP89">
        <v>15456</v>
      </c>
      <c r="AR89" t="str">
        <f t="shared" si="18"/>
        <v>0000000000000</v>
      </c>
      <c r="AT89" t="str">
        <f>T("9791137602311")</f>
        <v>9791137602311</v>
      </c>
      <c r="AV89" t="str">
        <f t="shared" si="19"/>
        <v>판타지 e북 &gt; 현대 판타지</v>
      </c>
    </row>
    <row r="90" spans="1:49" x14ac:dyDescent="0.4">
      <c r="A90">
        <v>2313012817</v>
      </c>
      <c r="B90">
        <v>2313012841</v>
      </c>
      <c r="C90" t="str">
        <f>T("[e북]갓 오브 블랙필드 외전 1권")</f>
        <v>[e북]갓 오브 블랙필드 외전 1권</v>
      </c>
      <c r="D90" t="str">
        <f>T("25")</f>
        <v>25</v>
      </c>
      <c r="E90" t="str">
        <f t="shared" si="16"/>
        <v>무장</v>
      </c>
      <c r="H90" t="str">
        <f t="shared" si="15"/>
        <v>스토리위즈</v>
      </c>
      <c r="I90" t="str">
        <f t="shared" si="17"/>
        <v>[e북]갓 오브 블랙필드</v>
      </c>
      <c r="J90">
        <v>3200</v>
      </c>
      <c r="K90">
        <v>22080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22080</v>
      </c>
      <c r="AH90">
        <v>7</v>
      </c>
      <c r="AI90">
        <v>0</v>
      </c>
      <c r="AJ90">
        <v>0</v>
      </c>
      <c r="AK90">
        <v>19830</v>
      </c>
      <c r="AL90">
        <v>0</v>
      </c>
      <c r="AM90">
        <v>2700</v>
      </c>
      <c r="AN90">
        <v>-810</v>
      </c>
      <c r="AO90">
        <v>0</v>
      </c>
      <c r="AP90">
        <v>15204</v>
      </c>
      <c r="AR90" t="str">
        <f t="shared" si="18"/>
        <v>0000000000000</v>
      </c>
      <c r="AT90" t="str">
        <f>T("9791137602403")</f>
        <v>9791137602403</v>
      </c>
      <c r="AV90" t="str">
        <f t="shared" si="19"/>
        <v>판타지 e북 &gt; 현대 판타지</v>
      </c>
    </row>
    <row r="91" spans="1:49" x14ac:dyDescent="0.4">
      <c r="A91">
        <v>2313012817</v>
      </c>
      <c r="B91">
        <v>2313012847</v>
      </c>
      <c r="C91" t="str">
        <f>T("[e북]갓 오브 블랙필드 2부 4권")</f>
        <v>[e북]갓 오브 블랙필드 2부 4권</v>
      </c>
      <c r="D91" t="str">
        <f>T("31")</f>
        <v>31</v>
      </c>
      <c r="E91" t="str">
        <f t="shared" si="16"/>
        <v>무장</v>
      </c>
      <c r="H91" t="str">
        <f t="shared" si="15"/>
        <v>스토리위즈</v>
      </c>
      <c r="I91" t="str">
        <f t="shared" si="17"/>
        <v>[e북]갓 오브 블랙필드</v>
      </c>
      <c r="J91">
        <v>3200</v>
      </c>
      <c r="K91">
        <v>22080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22080</v>
      </c>
      <c r="AH91">
        <v>7</v>
      </c>
      <c r="AI91">
        <v>0</v>
      </c>
      <c r="AJ91">
        <v>0</v>
      </c>
      <c r="AK91">
        <v>22080</v>
      </c>
      <c r="AL91">
        <v>0</v>
      </c>
      <c r="AM91">
        <v>0</v>
      </c>
      <c r="AN91">
        <v>0</v>
      </c>
      <c r="AO91">
        <v>0</v>
      </c>
      <c r="AP91">
        <v>15456</v>
      </c>
      <c r="AR91" t="str">
        <f t="shared" si="18"/>
        <v>0000000000000</v>
      </c>
      <c r="AT91" t="str">
        <f>T("9791137602465")</f>
        <v>9791137602465</v>
      </c>
      <c r="AV91" t="str">
        <f t="shared" si="19"/>
        <v>판타지 e북 &gt; 현대 판타지</v>
      </c>
    </row>
    <row r="92" spans="1:49" x14ac:dyDescent="0.4">
      <c r="A92">
        <v>2313012817</v>
      </c>
      <c r="B92">
        <v>2313012848</v>
      </c>
      <c r="C92" t="str">
        <f>T("[e북]갓 오브 블랙필드 2부 5권 (완결)")</f>
        <v>[e북]갓 오브 블랙필드 2부 5권 (완결)</v>
      </c>
      <c r="D92" t="str">
        <f>T("32")</f>
        <v>32</v>
      </c>
      <c r="E92" t="str">
        <f t="shared" si="16"/>
        <v>무장</v>
      </c>
      <c r="H92" t="str">
        <f t="shared" si="15"/>
        <v>스토리위즈</v>
      </c>
      <c r="I92" t="str">
        <f t="shared" si="17"/>
        <v>[e북]갓 오브 블랙필드</v>
      </c>
      <c r="J92">
        <v>3200</v>
      </c>
      <c r="K92">
        <v>22080</v>
      </c>
      <c r="L92">
        <v>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22080</v>
      </c>
      <c r="AH92">
        <v>7</v>
      </c>
      <c r="AI92">
        <v>0</v>
      </c>
      <c r="AJ92">
        <v>0</v>
      </c>
      <c r="AK92">
        <v>22080</v>
      </c>
      <c r="AL92">
        <v>0</v>
      </c>
      <c r="AM92">
        <v>0</v>
      </c>
      <c r="AN92">
        <v>0</v>
      </c>
      <c r="AO92">
        <v>0</v>
      </c>
      <c r="AP92">
        <v>15456</v>
      </c>
      <c r="AR92" t="str">
        <f t="shared" si="18"/>
        <v>0000000000000</v>
      </c>
      <c r="AT92" t="str">
        <f>T("9791137602472")</f>
        <v>9791137602472</v>
      </c>
      <c r="AV92" t="str">
        <f t="shared" si="19"/>
        <v>판타지 e북 &gt; 현대 판타지</v>
      </c>
    </row>
    <row r="93" spans="1:49" x14ac:dyDescent="0.4">
      <c r="A93">
        <v>2313016862</v>
      </c>
      <c r="B93">
        <v>2313016862</v>
      </c>
      <c r="C93" t="str">
        <f>T("[e북]베리타(verità) (외전증보판) 1권")</f>
        <v>[e북]베리타(verità) (외전증보판) 1권</v>
      </c>
      <c r="D93" t="str">
        <f>T("1")</f>
        <v>1</v>
      </c>
      <c r="E93" t="str">
        <f>T("블랙커피")</f>
        <v>블랙커피</v>
      </c>
      <c r="H93" t="str">
        <f>T("도서출판 태랑")</f>
        <v>도서출판 태랑</v>
      </c>
      <c r="I93" t="str">
        <f>T("[e북]베리타(verità) (외전증보판)")</f>
        <v>[e북]베리타(verità) (외전증보판)</v>
      </c>
      <c r="J93">
        <v>2600</v>
      </c>
      <c r="K93">
        <v>21840</v>
      </c>
      <c r="L93">
        <v>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21840</v>
      </c>
      <c r="AH93">
        <v>9</v>
      </c>
      <c r="AI93">
        <v>0</v>
      </c>
      <c r="AJ93">
        <v>0</v>
      </c>
      <c r="AK93">
        <v>19500</v>
      </c>
      <c r="AL93">
        <v>0</v>
      </c>
      <c r="AM93">
        <v>2808</v>
      </c>
      <c r="AN93">
        <v>-842.4</v>
      </c>
      <c r="AO93">
        <v>0</v>
      </c>
      <c r="AP93">
        <v>15025.92</v>
      </c>
      <c r="AT93" t="str">
        <f>T("9791164374304")</f>
        <v>9791164374304</v>
      </c>
      <c r="AV93" t="str">
        <f>T("로맨스 e북 &gt; 현대물")</f>
        <v>로맨스 e북 &gt; 현대물</v>
      </c>
      <c r="AW93" t="str">
        <f>T("로맨스 e북 &gt; 19+")</f>
        <v>로맨스 e북 &gt; 19+</v>
      </c>
    </row>
    <row r="94" spans="1:49" x14ac:dyDescent="0.4">
      <c r="A94">
        <v>2313007027</v>
      </c>
      <c r="B94">
        <v>2313007032</v>
      </c>
      <c r="C94" t="str">
        <f>T("[e북]레이디 스칼렛 6권")</f>
        <v>[e북]레이디 스칼렛 6권</v>
      </c>
      <c r="D94" t="str">
        <f>T("6")</f>
        <v>6</v>
      </c>
      <c r="E94" t="str">
        <f>T("불고기자리")</f>
        <v>불고기자리</v>
      </c>
      <c r="H94" t="str">
        <f>T("스토리위즈")</f>
        <v>스토리위즈</v>
      </c>
      <c r="I94" t="str">
        <f>T("[e북]레이디 스칼렛")</f>
        <v>[e북]레이디 스칼렛</v>
      </c>
      <c r="J94">
        <v>3500</v>
      </c>
      <c r="K94">
        <v>21000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21000</v>
      </c>
      <c r="AH94">
        <v>6</v>
      </c>
      <c r="AI94">
        <v>0</v>
      </c>
      <c r="AJ94">
        <v>0</v>
      </c>
      <c r="AK94">
        <v>21000</v>
      </c>
      <c r="AL94">
        <v>0</v>
      </c>
      <c r="AM94">
        <v>0</v>
      </c>
      <c r="AN94">
        <v>0</v>
      </c>
      <c r="AO94">
        <v>0</v>
      </c>
      <c r="AP94">
        <v>14700</v>
      </c>
      <c r="AT94" t="str">
        <f>T("9791159289019")</f>
        <v>9791159289019</v>
      </c>
      <c r="AV94" t="str">
        <f>T("로판 e북 &gt; 서양풍 로판")</f>
        <v>로판 e북 &gt; 서양풍 로판</v>
      </c>
    </row>
    <row r="95" spans="1:49" x14ac:dyDescent="0.4">
      <c r="A95">
        <v>2313017016</v>
      </c>
      <c r="B95">
        <v>2313016978</v>
      </c>
      <c r="C95" t="str">
        <f>T("[e북]트리거 (외전)")</f>
        <v>[e북]트리거 (외전)</v>
      </c>
      <c r="D95" t="str">
        <f>T("2")</f>
        <v>2</v>
      </c>
      <c r="E95" t="str">
        <f>T("블랙커피")</f>
        <v>블랙커피</v>
      </c>
      <c r="H95" t="str">
        <f>T("도서출판 태랑")</f>
        <v>도서출판 태랑</v>
      </c>
      <c r="I95" t="str">
        <f>T("[e북]트리거")</f>
        <v>[e북]트리거</v>
      </c>
      <c r="J95">
        <v>600</v>
      </c>
      <c r="K95">
        <v>21000</v>
      </c>
      <c r="L95">
        <v>35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21000</v>
      </c>
      <c r="AH95">
        <v>35</v>
      </c>
      <c r="AI95">
        <v>0</v>
      </c>
      <c r="AJ95">
        <v>0</v>
      </c>
      <c r="AK95">
        <v>21000</v>
      </c>
      <c r="AL95">
        <v>0</v>
      </c>
      <c r="AM95">
        <v>0</v>
      </c>
      <c r="AN95">
        <v>0</v>
      </c>
      <c r="AO95">
        <v>0</v>
      </c>
      <c r="AP95">
        <v>14700</v>
      </c>
      <c r="AT95" t="str">
        <f>T("9791164372331")</f>
        <v>9791164372331</v>
      </c>
      <c r="AV95" t="str">
        <f>T("BL 소설 e북 &gt; 현대물")</f>
        <v>BL 소설 e북 &gt; 현대물</v>
      </c>
    </row>
    <row r="96" spans="1:49" x14ac:dyDescent="0.4">
      <c r="A96">
        <v>2313017117</v>
      </c>
      <c r="B96">
        <v>2313017117</v>
      </c>
      <c r="C96" t="str">
        <f>T("[e북]봄나물 (Rookie) 1권")</f>
        <v>[e북]봄나물 (Rookie) 1권</v>
      </c>
      <c r="D96" t="str">
        <f>T("1")</f>
        <v>1</v>
      </c>
      <c r="E96" t="str">
        <f>T("발상")</f>
        <v>발상</v>
      </c>
      <c r="H96" t="str">
        <f>T("도서출판 태랑")</f>
        <v>도서출판 태랑</v>
      </c>
      <c r="I96" t="str">
        <f>T("[e북]봄나물(Rookie)")</f>
        <v>[e북]봄나물(Rookie)</v>
      </c>
      <c r="J96">
        <v>3500</v>
      </c>
      <c r="K96">
        <v>21000</v>
      </c>
      <c r="L96">
        <v>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21000</v>
      </c>
      <c r="AH96">
        <v>6</v>
      </c>
      <c r="AI96">
        <v>0</v>
      </c>
      <c r="AJ96">
        <v>0</v>
      </c>
      <c r="AK96">
        <v>21000</v>
      </c>
      <c r="AL96">
        <v>0</v>
      </c>
      <c r="AM96">
        <v>0</v>
      </c>
      <c r="AN96">
        <v>0</v>
      </c>
      <c r="AO96">
        <v>0</v>
      </c>
      <c r="AP96">
        <v>14700</v>
      </c>
      <c r="AT96" t="str">
        <f>T("9791189627508")</f>
        <v>9791189627508</v>
      </c>
      <c r="AV96" t="str">
        <f>T("BL 소설 e북 &gt; 현대물")</f>
        <v>BL 소설 e북 &gt; 현대물</v>
      </c>
    </row>
    <row r="97" spans="1:48" x14ac:dyDescent="0.4">
      <c r="A97">
        <v>2313006989</v>
      </c>
      <c r="B97">
        <v>2313006991</v>
      </c>
      <c r="C97" t="str">
        <f>T("[e북]로드 오브 머니 3권")</f>
        <v>[e북]로드 오브 머니 3권</v>
      </c>
      <c r="D97" t="str">
        <f>T("3")</f>
        <v>3</v>
      </c>
      <c r="E97" t="str">
        <f>T("무장")</f>
        <v>무장</v>
      </c>
      <c r="H97" t="str">
        <f t="shared" ref="H97:H114" si="20">T("스토리위즈")</f>
        <v>스토리위즈</v>
      </c>
      <c r="I97" t="str">
        <f>T("[e북]로드 오브 머니")</f>
        <v>[e북]로드 오브 머니</v>
      </c>
      <c r="J97">
        <v>3200</v>
      </c>
      <c r="K97">
        <v>19200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19200</v>
      </c>
      <c r="AH97">
        <v>6</v>
      </c>
      <c r="AI97">
        <v>0</v>
      </c>
      <c r="AJ97">
        <v>0</v>
      </c>
      <c r="AK97">
        <v>19200</v>
      </c>
      <c r="AL97">
        <v>0</v>
      </c>
      <c r="AM97">
        <v>0</v>
      </c>
      <c r="AN97">
        <v>0</v>
      </c>
      <c r="AO97">
        <v>0</v>
      </c>
      <c r="AP97">
        <v>13440</v>
      </c>
      <c r="AT97" t="str">
        <f>T("9791188630127")</f>
        <v>9791188630127</v>
      </c>
      <c r="AV97" t="str">
        <f>T("판타지 e북 &gt; 현대 판타지")</f>
        <v>판타지 e북 &gt; 현대 판타지</v>
      </c>
    </row>
    <row r="98" spans="1:48" x14ac:dyDescent="0.4">
      <c r="A98">
        <v>2313006989</v>
      </c>
      <c r="B98">
        <v>2313006993</v>
      </c>
      <c r="C98" t="str">
        <f>T("[e북]로드 오브 머니 5권")</f>
        <v>[e북]로드 오브 머니 5권</v>
      </c>
      <c r="D98" t="str">
        <f>T("5")</f>
        <v>5</v>
      </c>
      <c r="E98" t="str">
        <f>T("무장")</f>
        <v>무장</v>
      </c>
      <c r="H98" t="str">
        <f t="shared" si="20"/>
        <v>스토리위즈</v>
      </c>
      <c r="I98" t="str">
        <f>T("[e북]로드 오브 머니")</f>
        <v>[e북]로드 오브 머니</v>
      </c>
      <c r="J98">
        <v>3200</v>
      </c>
      <c r="K98">
        <v>19200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19200</v>
      </c>
      <c r="AH98">
        <v>6</v>
      </c>
      <c r="AI98">
        <v>0</v>
      </c>
      <c r="AJ98">
        <v>0</v>
      </c>
      <c r="AK98">
        <v>19200</v>
      </c>
      <c r="AL98">
        <v>0</v>
      </c>
      <c r="AM98">
        <v>0</v>
      </c>
      <c r="AN98">
        <v>0</v>
      </c>
      <c r="AO98">
        <v>0</v>
      </c>
      <c r="AP98">
        <v>13440</v>
      </c>
      <c r="AT98" t="str">
        <f>T("9791188630141")</f>
        <v>9791188630141</v>
      </c>
      <c r="AV98" t="str">
        <f>T("판타지 e북 &gt; 현대 판타지")</f>
        <v>판타지 e북 &gt; 현대 판타지</v>
      </c>
    </row>
    <row r="99" spans="1:48" x14ac:dyDescent="0.4">
      <c r="A99">
        <v>2313008324</v>
      </c>
      <c r="B99">
        <v>2313008329</v>
      </c>
      <c r="C99" t="str">
        <f>T("[e북]간신이 나라를 살림 6권")</f>
        <v>[e북]간신이 나라를 살림 6권</v>
      </c>
      <c r="D99" t="str">
        <f>T("6")</f>
        <v>6</v>
      </c>
      <c r="E99" t="str">
        <f>T("루이세")</f>
        <v>루이세</v>
      </c>
      <c r="H99" t="str">
        <f t="shared" si="20"/>
        <v>스토리위즈</v>
      </c>
      <c r="I99" t="str">
        <f>T("[e북]간신이 나라를 살림")</f>
        <v>[e북]간신이 나라를 살림</v>
      </c>
      <c r="J99">
        <v>3200</v>
      </c>
      <c r="K99">
        <v>19200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132800</v>
      </c>
      <c r="T99">
        <v>83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-3200</v>
      </c>
      <c r="AD99">
        <v>2</v>
      </c>
      <c r="AE99">
        <v>0</v>
      </c>
      <c r="AF99">
        <v>0</v>
      </c>
      <c r="AG99">
        <v>152000</v>
      </c>
      <c r="AH99">
        <v>89</v>
      </c>
      <c r="AI99">
        <v>-3200</v>
      </c>
      <c r="AJ99">
        <v>2</v>
      </c>
      <c r="AK99">
        <v>152000</v>
      </c>
      <c r="AL99">
        <v>-3200</v>
      </c>
      <c r="AM99">
        <v>0</v>
      </c>
      <c r="AN99">
        <v>0</v>
      </c>
      <c r="AO99">
        <v>0</v>
      </c>
      <c r="AP99">
        <v>104160</v>
      </c>
      <c r="AT99" t="str">
        <f>T("9791165310769")</f>
        <v>9791165310769</v>
      </c>
      <c r="AV99" t="str">
        <f>T("판타지 e북 &gt; 퓨전 판타지")</f>
        <v>판타지 e북 &gt; 퓨전 판타지</v>
      </c>
    </row>
    <row r="100" spans="1:48" x14ac:dyDescent="0.4">
      <c r="A100">
        <v>2313008324</v>
      </c>
      <c r="B100">
        <v>2313008330</v>
      </c>
      <c r="C100" t="str">
        <f>T("[e북]간신이 나라를 살림 7권")</f>
        <v>[e북]간신이 나라를 살림 7권</v>
      </c>
      <c r="D100" t="str">
        <f>T("7")</f>
        <v>7</v>
      </c>
      <c r="E100" t="str">
        <f>T("루이세")</f>
        <v>루이세</v>
      </c>
      <c r="H100" t="str">
        <f t="shared" si="20"/>
        <v>스토리위즈</v>
      </c>
      <c r="I100" t="str">
        <f>T("[e북]간신이 나라를 살림")</f>
        <v>[e북]간신이 나라를 살림</v>
      </c>
      <c r="J100">
        <v>3200</v>
      </c>
      <c r="K100">
        <v>19200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132800</v>
      </c>
      <c r="T100">
        <v>83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-3200</v>
      </c>
      <c r="AD100">
        <v>2</v>
      </c>
      <c r="AE100">
        <v>0</v>
      </c>
      <c r="AF100">
        <v>0</v>
      </c>
      <c r="AG100">
        <v>152000</v>
      </c>
      <c r="AH100">
        <v>89</v>
      </c>
      <c r="AI100">
        <v>-3200</v>
      </c>
      <c r="AJ100">
        <v>2</v>
      </c>
      <c r="AK100">
        <v>152000</v>
      </c>
      <c r="AL100">
        <v>-3200</v>
      </c>
      <c r="AM100">
        <v>0</v>
      </c>
      <c r="AN100">
        <v>0</v>
      </c>
      <c r="AO100">
        <v>0</v>
      </c>
      <c r="AP100">
        <v>104160</v>
      </c>
      <c r="AT100" t="str">
        <f>T("9791165310776")</f>
        <v>9791165310776</v>
      </c>
      <c r="AV100" t="str">
        <f>T("판타지 e북 &gt; 퓨전 판타지")</f>
        <v>판타지 e북 &gt; 퓨전 판타지</v>
      </c>
    </row>
    <row r="101" spans="1:48" x14ac:dyDescent="0.4">
      <c r="A101">
        <v>2313008324</v>
      </c>
      <c r="B101">
        <v>2313008331</v>
      </c>
      <c r="C101" t="str">
        <f>T("[e북]간신이 나라를 살림 8권")</f>
        <v>[e북]간신이 나라를 살림 8권</v>
      </c>
      <c r="D101" t="str">
        <f>T("8")</f>
        <v>8</v>
      </c>
      <c r="E101" t="str">
        <f>T("루이세")</f>
        <v>루이세</v>
      </c>
      <c r="H101" t="str">
        <f t="shared" si="20"/>
        <v>스토리위즈</v>
      </c>
      <c r="I101" t="str">
        <f>T("[e북]간신이 나라를 살림")</f>
        <v>[e북]간신이 나라를 살림</v>
      </c>
      <c r="J101">
        <v>3200</v>
      </c>
      <c r="K101">
        <v>19200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132800</v>
      </c>
      <c r="T101">
        <v>83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-3200</v>
      </c>
      <c r="AD101">
        <v>2</v>
      </c>
      <c r="AE101">
        <v>0</v>
      </c>
      <c r="AF101">
        <v>0</v>
      </c>
      <c r="AG101">
        <v>152000</v>
      </c>
      <c r="AH101">
        <v>89</v>
      </c>
      <c r="AI101">
        <v>-3200</v>
      </c>
      <c r="AJ101">
        <v>2</v>
      </c>
      <c r="AK101">
        <v>152000</v>
      </c>
      <c r="AL101">
        <v>-3200</v>
      </c>
      <c r="AM101">
        <v>0</v>
      </c>
      <c r="AN101">
        <v>0</v>
      </c>
      <c r="AO101">
        <v>0</v>
      </c>
      <c r="AP101">
        <v>104160</v>
      </c>
      <c r="AT101" t="str">
        <f>T("9791165310783")</f>
        <v>9791165310783</v>
      </c>
      <c r="AV101" t="str">
        <f>T("판타지 e북 &gt; 퓨전 판타지")</f>
        <v>판타지 e북 &gt; 퓨전 판타지</v>
      </c>
    </row>
    <row r="102" spans="1:48" x14ac:dyDescent="0.4">
      <c r="A102">
        <v>2313008324</v>
      </c>
      <c r="B102">
        <v>2313008333</v>
      </c>
      <c r="C102" t="str">
        <f>T("[e북]간신이 나라를 살림 10권 (완결)")</f>
        <v>[e북]간신이 나라를 살림 10권 (완결)</v>
      </c>
      <c r="D102" t="str">
        <f>T("10")</f>
        <v>10</v>
      </c>
      <c r="E102" t="str">
        <f>T("루이세")</f>
        <v>루이세</v>
      </c>
      <c r="H102" t="str">
        <f t="shared" si="20"/>
        <v>스토리위즈</v>
      </c>
      <c r="I102" t="str">
        <f>T("[e북]간신이 나라를 살림")</f>
        <v>[e북]간신이 나라를 살림</v>
      </c>
      <c r="J102">
        <v>3200</v>
      </c>
      <c r="K102">
        <v>19200</v>
      </c>
      <c r="L102">
        <v>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132800</v>
      </c>
      <c r="T102">
        <v>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-3200</v>
      </c>
      <c r="AD102">
        <v>2</v>
      </c>
      <c r="AE102">
        <v>0</v>
      </c>
      <c r="AF102">
        <v>0</v>
      </c>
      <c r="AG102">
        <v>152000</v>
      </c>
      <c r="AH102">
        <v>89</v>
      </c>
      <c r="AI102">
        <v>-3200</v>
      </c>
      <c r="AJ102">
        <v>2</v>
      </c>
      <c r="AK102">
        <v>152000</v>
      </c>
      <c r="AL102">
        <v>-3200</v>
      </c>
      <c r="AM102">
        <v>0</v>
      </c>
      <c r="AN102">
        <v>0</v>
      </c>
      <c r="AO102">
        <v>0</v>
      </c>
      <c r="AP102">
        <v>104160</v>
      </c>
      <c r="AT102" t="str">
        <f>T("9791165310806")</f>
        <v>9791165310806</v>
      </c>
      <c r="AV102" t="str">
        <f>T("판타지 e북 &gt; 퓨전 판타지")</f>
        <v>판타지 e북 &gt; 퓨전 판타지</v>
      </c>
    </row>
    <row r="103" spans="1:48" x14ac:dyDescent="0.4">
      <c r="A103">
        <v>2313011938</v>
      </c>
      <c r="B103">
        <v>2313011940</v>
      </c>
      <c r="C103" t="str">
        <f>T("[e북]최종 보스 : 빛을 향해 달리는 그림자 1부 3권")</f>
        <v>[e북]최종 보스 : 빛을 향해 달리는 그림자 1부 3권</v>
      </c>
      <c r="D103" t="str">
        <f>T("3")</f>
        <v>3</v>
      </c>
      <c r="E103" t="str">
        <f t="shared" ref="E103:E114" si="21">T("무장")</f>
        <v>무장</v>
      </c>
      <c r="H103" t="str">
        <f t="shared" si="20"/>
        <v>스토리위즈</v>
      </c>
      <c r="I103" t="str">
        <f>T("[e북]최종 보스 : 빛을 향해 달리는 그림자")</f>
        <v>[e북]최종 보스 : 빛을 향해 달리는 그림자</v>
      </c>
      <c r="J103">
        <v>3200</v>
      </c>
      <c r="K103">
        <v>19200</v>
      </c>
      <c r="L103">
        <v>6</v>
      </c>
      <c r="M103">
        <v>0</v>
      </c>
      <c r="N103">
        <v>151290</v>
      </c>
      <c r="O103">
        <v>202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-630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170490</v>
      </c>
      <c r="AH103">
        <v>208</v>
      </c>
      <c r="AI103">
        <v>-630</v>
      </c>
      <c r="AJ103">
        <v>1</v>
      </c>
      <c r="AK103">
        <v>169877</v>
      </c>
      <c r="AL103">
        <v>-630</v>
      </c>
      <c r="AM103">
        <v>735.6</v>
      </c>
      <c r="AN103">
        <v>-220.68</v>
      </c>
      <c r="AO103">
        <v>0</v>
      </c>
      <c r="AP103">
        <v>118833.34</v>
      </c>
      <c r="AT103" t="str">
        <f>T("9791137601031")</f>
        <v>9791137601031</v>
      </c>
      <c r="AV103" t="str">
        <f t="shared" ref="AV103:AV114" si="22">T("판타지 e북 &gt; 현대 판타지")</f>
        <v>판타지 e북 &gt; 현대 판타지</v>
      </c>
    </row>
    <row r="104" spans="1:48" x14ac:dyDescent="0.4">
      <c r="A104">
        <v>2313011938</v>
      </c>
      <c r="B104">
        <v>2313011949</v>
      </c>
      <c r="C104" t="str">
        <f>T("[e북]최종 보스 : 빛을 향해 달리는 그림자 1부 12권")</f>
        <v>[e북]최종 보스 : 빛을 향해 달리는 그림자 1부 12권</v>
      </c>
      <c r="D104" t="str">
        <f>T("12")</f>
        <v>12</v>
      </c>
      <c r="E104" t="str">
        <f t="shared" si="21"/>
        <v>무장</v>
      </c>
      <c r="H104" t="str">
        <f t="shared" si="20"/>
        <v>스토리위즈</v>
      </c>
      <c r="I104" t="str">
        <f>T("[e북]최종 보스 : 빛을 향해 달리는 그림자")</f>
        <v>[e북]최종 보스 : 빛을 향해 달리는 그림자</v>
      </c>
      <c r="J104">
        <v>3200</v>
      </c>
      <c r="K104">
        <v>19200</v>
      </c>
      <c r="L104">
        <v>6</v>
      </c>
      <c r="M104">
        <v>0</v>
      </c>
      <c r="N104">
        <v>111690</v>
      </c>
      <c r="O104">
        <v>158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-630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130890</v>
      </c>
      <c r="AH104">
        <v>164</v>
      </c>
      <c r="AI104">
        <v>-630</v>
      </c>
      <c r="AJ104">
        <v>1</v>
      </c>
      <c r="AK104">
        <v>130278</v>
      </c>
      <c r="AL104">
        <v>-630</v>
      </c>
      <c r="AM104">
        <v>734.4</v>
      </c>
      <c r="AN104">
        <v>-220.32</v>
      </c>
      <c r="AO104">
        <v>0</v>
      </c>
      <c r="AP104">
        <v>91113.45</v>
      </c>
      <c r="AT104" t="str">
        <f>T("9791137601123")</f>
        <v>9791137601123</v>
      </c>
      <c r="AV104" t="str">
        <f t="shared" si="22"/>
        <v>판타지 e북 &gt; 현대 판타지</v>
      </c>
    </row>
    <row r="105" spans="1:48" x14ac:dyDescent="0.4">
      <c r="A105">
        <v>2313011938</v>
      </c>
      <c r="B105">
        <v>2313011950</v>
      </c>
      <c r="C105" t="str">
        <f>T("[e북]최종 보스 : 빛을 향해 달리는 그림자 1부 13권")</f>
        <v>[e북]최종 보스 : 빛을 향해 달리는 그림자 1부 13권</v>
      </c>
      <c r="D105" t="str">
        <f>T("13")</f>
        <v>13</v>
      </c>
      <c r="E105" t="str">
        <f t="shared" si="21"/>
        <v>무장</v>
      </c>
      <c r="H105" t="str">
        <f t="shared" si="20"/>
        <v>스토리위즈</v>
      </c>
      <c r="I105" t="str">
        <f>T("[e북]최종 보스 : 빛을 향해 달리는 그림자")</f>
        <v>[e북]최종 보스 : 빛을 향해 달리는 그림자</v>
      </c>
      <c r="J105">
        <v>3200</v>
      </c>
      <c r="K105">
        <v>19200</v>
      </c>
      <c r="L105">
        <v>6</v>
      </c>
      <c r="M105">
        <v>0</v>
      </c>
      <c r="N105">
        <v>109890</v>
      </c>
      <c r="O105">
        <v>156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-630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129090</v>
      </c>
      <c r="AH105">
        <v>162</v>
      </c>
      <c r="AI105">
        <v>-630</v>
      </c>
      <c r="AJ105">
        <v>1</v>
      </c>
      <c r="AK105">
        <v>128478</v>
      </c>
      <c r="AL105">
        <v>-630</v>
      </c>
      <c r="AM105">
        <v>734.4</v>
      </c>
      <c r="AN105">
        <v>-220.32</v>
      </c>
      <c r="AO105">
        <v>0</v>
      </c>
      <c r="AP105">
        <v>89853.45</v>
      </c>
      <c r="AT105" t="str">
        <f>T("9791137601130")</f>
        <v>9791137601130</v>
      </c>
      <c r="AV105" t="str">
        <f t="shared" si="22"/>
        <v>판타지 e북 &gt; 현대 판타지</v>
      </c>
    </row>
    <row r="106" spans="1:48" x14ac:dyDescent="0.4">
      <c r="A106">
        <v>2313011938</v>
      </c>
      <c r="B106">
        <v>2313011953</v>
      </c>
      <c r="C106" t="str">
        <f>T("[e북]최종 보스 : 빛을 향해 달리는 그림자 1부 16권")</f>
        <v>[e북]최종 보스 : 빛을 향해 달리는 그림자 1부 16권</v>
      </c>
      <c r="D106" t="str">
        <f>T("16")</f>
        <v>16</v>
      </c>
      <c r="E106" t="str">
        <f t="shared" si="21"/>
        <v>무장</v>
      </c>
      <c r="H106" t="str">
        <f t="shared" si="20"/>
        <v>스토리위즈</v>
      </c>
      <c r="I106" t="str">
        <f>T("[e북]최종 보스 : 빛을 향해 달리는 그림자")</f>
        <v>[e북]최종 보스 : 빛을 향해 달리는 그림자</v>
      </c>
      <c r="J106">
        <v>3200</v>
      </c>
      <c r="K106">
        <v>19200</v>
      </c>
      <c r="L106">
        <v>6</v>
      </c>
      <c r="M106">
        <v>0</v>
      </c>
      <c r="N106">
        <v>108090</v>
      </c>
      <c r="O106">
        <v>154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-630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127290</v>
      </c>
      <c r="AH106">
        <v>160</v>
      </c>
      <c r="AI106">
        <v>-630</v>
      </c>
      <c r="AJ106">
        <v>1</v>
      </c>
      <c r="AK106">
        <v>126678</v>
      </c>
      <c r="AL106">
        <v>-630</v>
      </c>
      <c r="AM106">
        <v>734.4</v>
      </c>
      <c r="AN106">
        <v>-220.32</v>
      </c>
      <c r="AO106">
        <v>0</v>
      </c>
      <c r="AP106">
        <v>88593.45</v>
      </c>
      <c r="AT106" t="str">
        <f>T("9791137601161")</f>
        <v>9791137601161</v>
      </c>
      <c r="AV106" t="str">
        <f t="shared" si="22"/>
        <v>판타지 e북 &gt; 현대 판타지</v>
      </c>
    </row>
    <row r="107" spans="1:48" x14ac:dyDescent="0.4">
      <c r="A107">
        <v>2313012817</v>
      </c>
      <c r="B107">
        <v>2313012834</v>
      </c>
      <c r="C107" t="str">
        <f>T("[e북]갓 오브 블랙필드 18권")</f>
        <v>[e북]갓 오브 블랙필드 18권</v>
      </c>
      <c r="D107" t="str">
        <f>T("18")</f>
        <v>18</v>
      </c>
      <c r="E107" t="str">
        <f t="shared" si="21"/>
        <v>무장</v>
      </c>
      <c r="H107" t="str">
        <f t="shared" si="20"/>
        <v>스토리위즈</v>
      </c>
      <c r="I107" t="str">
        <f t="shared" ref="I107:I114" si="23">T("[e북]갓 오브 블랙필드")</f>
        <v>[e북]갓 오브 블랙필드</v>
      </c>
      <c r="J107">
        <v>3200</v>
      </c>
      <c r="K107">
        <v>18880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18880</v>
      </c>
      <c r="AH107">
        <v>6</v>
      </c>
      <c r="AI107">
        <v>0</v>
      </c>
      <c r="AJ107">
        <v>0</v>
      </c>
      <c r="AK107">
        <v>18880</v>
      </c>
      <c r="AL107">
        <v>0</v>
      </c>
      <c r="AM107">
        <v>0</v>
      </c>
      <c r="AN107">
        <v>0</v>
      </c>
      <c r="AO107">
        <v>0</v>
      </c>
      <c r="AP107">
        <v>13216</v>
      </c>
      <c r="AR107" t="str">
        <f t="shared" ref="AR107:AR114" si="24">T("0000000000000")</f>
        <v>0000000000000</v>
      </c>
      <c r="AT107" t="str">
        <f>T("9791137602335")</f>
        <v>9791137602335</v>
      </c>
      <c r="AV107" t="str">
        <f t="shared" si="22"/>
        <v>판타지 e북 &gt; 현대 판타지</v>
      </c>
    </row>
    <row r="108" spans="1:48" x14ac:dyDescent="0.4">
      <c r="A108">
        <v>2313012817</v>
      </c>
      <c r="B108">
        <v>2313012835</v>
      </c>
      <c r="C108" t="str">
        <f>T("[e북]갓 오브 블랙필드 19권")</f>
        <v>[e북]갓 오브 블랙필드 19권</v>
      </c>
      <c r="D108" t="str">
        <f>T("19")</f>
        <v>19</v>
      </c>
      <c r="E108" t="str">
        <f t="shared" si="21"/>
        <v>무장</v>
      </c>
      <c r="H108" t="str">
        <f t="shared" si="20"/>
        <v>스토리위즈</v>
      </c>
      <c r="I108" t="str">
        <f t="shared" si="23"/>
        <v>[e북]갓 오브 블랙필드</v>
      </c>
      <c r="J108">
        <v>3200</v>
      </c>
      <c r="K108">
        <v>18880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18880</v>
      </c>
      <c r="AH108">
        <v>6</v>
      </c>
      <c r="AI108">
        <v>0</v>
      </c>
      <c r="AJ108">
        <v>0</v>
      </c>
      <c r="AK108">
        <v>18880</v>
      </c>
      <c r="AL108">
        <v>0</v>
      </c>
      <c r="AM108">
        <v>0</v>
      </c>
      <c r="AN108">
        <v>0</v>
      </c>
      <c r="AO108">
        <v>0</v>
      </c>
      <c r="AP108">
        <v>13216</v>
      </c>
      <c r="AR108" t="str">
        <f t="shared" si="24"/>
        <v>0000000000000</v>
      </c>
      <c r="AT108" t="str">
        <f>T("9791137602342")</f>
        <v>9791137602342</v>
      </c>
      <c r="AV108" t="str">
        <f t="shared" si="22"/>
        <v>판타지 e북 &gt; 현대 판타지</v>
      </c>
    </row>
    <row r="109" spans="1:48" x14ac:dyDescent="0.4">
      <c r="A109">
        <v>2313012817</v>
      </c>
      <c r="B109">
        <v>2313012836</v>
      </c>
      <c r="C109" t="str">
        <f>T("[e북]갓 오브 블랙필드 20권")</f>
        <v>[e북]갓 오브 블랙필드 20권</v>
      </c>
      <c r="D109" t="str">
        <f>T("20")</f>
        <v>20</v>
      </c>
      <c r="E109" t="str">
        <f t="shared" si="21"/>
        <v>무장</v>
      </c>
      <c r="H109" t="str">
        <f t="shared" si="20"/>
        <v>스토리위즈</v>
      </c>
      <c r="I109" t="str">
        <f t="shared" si="23"/>
        <v>[e북]갓 오브 블랙필드</v>
      </c>
      <c r="J109">
        <v>3200</v>
      </c>
      <c r="K109">
        <v>18880</v>
      </c>
      <c r="L109">
        <v>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18880</v>
      </c>
      <c r="AH109">
        <v>6</v>
      </c>
      <c r="AI109">
        <v>0</v>
      </c>
      <c r="AJ109">
        <v>0</v>
      </c>
      <c r="AK109">
        <v>18880</v>
      </c>
      <c r="AL109">
        <v>0</v>
      </c>
      <c r="AM109">
        <v>0</v>
      </c>
      <c r="AN109">
        <v>0</v>
      </c>
      <c r="AO109">
        <v>0</v>
      </c>
      <c r="AP109">
        <v>13216</v>
      </c>
      <c r="AR109" t="str">
        <f t="shared" si="24"/>
        <v>0000000000000</v>
      </c>
      <c r="AT109" t="str">
        <f>T("9791137602359")</f>
        <v>9791137602359</v>
      </c>
      <c r="AV109" t="str">
        <f t="shared" si="22"/>
        <v>판타지 e북 &gt; 현대 판타지</v>
      </c>
    </row>
    <row r="110" spans="1:48" x14ac:dyDescent="0.4">
      <c r="A110">
        <v>2313012817</v>
      </c>
      <c r="B110">
        <v>2313012837</v>
      </c>
      <c r="C110" t="str">
        <f>T("[e북]갓 오브 블랙필드 21권")</f>
        <v>[e북]갓 오브 블랙필드 21권</v>
      </c>
      <c r="D110" t="str">
        <f>T("21")</f>
        <v>21</v>
      </c>
      <c r="E110" t="str">
        <f t="shared" si="21"/>
        <v>무장</v>
      </c>
      <c r="H110" t="str">
        <f t="shared" si="20"/>
        <v>스토리위즈</v>
      </c>
      <c r="I110" t="str">
        <f t="shared" si="23"/>
        <v>[e북]갓 오브 블랙필드</v>
      </c>
      <c r="J110">
        <v>3200</v>
      </c>
      <c r="K110">
        <v>18880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18880</v>
      </c>
      <c r="AH110">
        <v>6</v>
      </c>
      <c r="AI110">
        <v>0</v>
      </c>
      <c r="AJ110">
        <v>0</v>
      </c>
      <c r="AK110">
        <v>18880</v>
      </c>
      <c r="AL110">
        <v>0</v>
      </c>
      <c r="AM110">
        <v>0</v>
      </c>
      <c r="AN110">
        <v>0</v>
      </c>
      <c r="AO110">
        <v>0</v>
      </c>
      <c r="AP110">
        <v>13216</v>
      </c>
      <c r="AR110" t="str">
        <f t="shared" si="24"/>
        <v>0000000000000</v>
      </c>
      <c r="AT110" t="str">
        <f>T("9791137602366")</f>
        <v>9791137602366</v>
      </c>
      <c r="AV110" t="str">
        <f t="shared" si="22"/>
        <v>판타지 e북 &gt; 현대 판타지</v>
      </c>
    </row>
    <row r="111" spans="1:48" x14ac:dyDescent="0.4">
      <c r="A111">
        <v>2313012817</v>
      </c>
      <c r="B111">
        <v>2313012838</v>
      </c>
      <c r="C111" t="str">
        <f>T("[e북]갓 오브 블랙필드 22권")</f>
        <v>[e북]갓 오브 블랙필드 22권</v>
      </c>
      <c r="D111" t="str">
        <f>T("22")</f>
        <v>22</v>
      </c>
      <c r="E111" t="str">
        <f t="shared" si="21"/>
        <v>무장</v>
      </c>
      <c r="H111" t="str">
        <f t="shared" si="20"/>
        <v>스토리위즈</v>
      </c>
      <c r="I111" t="str">
        <f t="shared" si="23"/>
        <v>[e북]갓 오브 블랙필드</v>
      </c>
      <c r="J111">
        <v>3200</v>
      </c>
      <c r="K111">
        <v>18880</v>
      </c>
      <c r="L111">
        <v>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18880</v>
      </c>
      <c r="AH111">
        <v>6</v>
      </c>
      <c r="AI111">
        <v>0</v>
      </c>
      <c r="AJ111">
        <v>0</v>
      </c>
      <c r="AK111">
        <v>18880</v>
      </c>
      <c r="AL111">
        <v>0</v>
      </c>
      <c r="AM111">
        <v>0</v>
      </c>
      <c r="AN111">
        <v>0</v>
      </c>
      <c r="AO111">
        <v>0</v>
      </c>
      <c r="AP111">
        <v>13216</v>
      </c>
      <c r="AR111" t="str">
        <f t="shared" si="24"/>
        <v>0000000000000</v>
      </c>
      <c r="AT111" t="str">
        <f>T("9791137602373")</f>
        <v>9791137602373</v>
      </c>
      <c r="AV111" t="str">
        <f t="shared" si="22"/>
        <v>판타지 e북 &gt; 현대 판타지</v>
      </c>
    </row>
    <row r="112" spans="1:48" x14ac:dyDescent="0.4">
      <c r="A112">
        <v>2313012817</v>
      </c>
      <c r="B112">
        <v>2313012839</v>
      </c>
      <c r="C112" t="str">
        <f>T("[e북]갓 오브 블랙필드 23권")</f>
        <v>[e북]갓 오브 블랙필드 23권</v>
      </c>
      <c r="D112" t="str">
        <f>T("23")</f>
        <v>23</v>
      </c>
      <c r="E112" t="str">
        <f t="shared" si="21"/>
        <v>무장</v>
      </c>
      <c r="H112" t="str">
        <f t="shared" si="20"/>
        <v>스토리위즈</v>
      </c>
      <c r="I112" t="str">
        <f t="shared" si="23"/>
        <v>[e북]갓 오브 블랙필드</v>
      </c>
      <c r="J112">
        <v>3200</v>
      </c>
      <c r="K112">
        <v>18880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18880</v>
      </c>
      <c r="AH112">
        <v>6</v>
      </c>
      <c r="AI112">
        <v>0</v>
      </c>
      <c r="AJ112">
        <v>0</v>
      </c>
      <c r="AK112">
        <v>18880</v>
      </c>
      <c r="AL112">
        <v>0</v>
      </c>
      <c r="AM112">
        <v>0</v>
      </c>
      <c r="AN112">
        <v>0</v>
      </c>
      <c r="AO112">
        <v>0</v>
      </c>
      <c r="AP112">
        <v>13216</v>
      </c>
      <c r="AR112" t="str">
        <f t="shared" si="24"/>
        <v>0000000000000</v>
      </c>
      <c r="AT112" t="str">
        <f>T("9791137602380")</f>
        <v>9791137602380</v>
      </c>
      <c r="AV112" t="str">
        <f t="shared" si="22"/>
        <v>판타지 e북 &gt; 현대 판타지</v>
      </c>
    </row>
    <row r="113" spans="1:49" x14ac:dyDescent="0.4">
      <c r="A113">
        <v>2313012817</v>
      </c>
      <c r="B113">
        <v>2313012840</v>
      </c>
      <c r="C113" t="str">
        <f>T("[e북]갓 오브 블랙필드 24권")</f>
        <v>[e북]갓 오브 블랙필드 24권</v>
      </c>
      <c r="D113" t="str">
        <f>T("24")</f>
        <v>24</v>
      </c>
      <c r="E113" t="str">
        <f t="shared" si="21"/>
        <v>무장</v>
      </c>
      <c r="H113" t="str">
        <f t="shared" si="20"/>
        <v>스토리위즈</v>
      </c>
      <c r="I113" t="str">
        <f t="shared" si="23"/>
        <v>[e북]갓 오브 블랙필드</v>
      </c>
      <c r="J113">
        <v>3200</v>
      </c>
      <c r="K113">
        <v>18880</v>
      </c>
      <c r="L113">
        <v>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18880</v>
      </c>
      <c r="AH113">
        <v>6</v>
      </c>
      <c r="AI113">
        <v>0</v>
      </c>
      <c r="AJ113">
        <v>0</v>
      </c>
      <c r="AK113">
        <v>18880</v>
      </c>
      <c r="AL113">
        <v>0</v>
      </c>
      <c r="AM113">
        <v>0</v>
      </c>
      <c r="AN113">
        <v>0</v>
      </c>
      <c r="AO113">
        <v>0</v>
      </c>
      <c r="AP113">
        <v>13216</v>
      </c>
      <c r="AR113" t="str">
        <f t="shared" si="24"/>
        <v>0000000000000</v>
      </c>
      <c r="AT113" t="str">
        <f>T("9791137602397")</f>
        <v>9791137602397</v>
      </c>
      <c r="AV113" t="str">
        <f t="shared" si="22"/>
        <v>판타지 e북 &gt; 현대 판타지</v>
      </c>
    </row>
    <row r="114" spans="1:49" x14ac:dyDescent="0.4">
      <c r="A114">
        <v>2313012817</v>
      </c>
      <c r="B114">
        <v>2313012844</v>
      </c>
      <c r="C114" t="str">
        <f>T("[e북]갓 오브 블랙필드 2부 1권")</f>
        <v>[e북]갓 오브 블랙필드 2부 1권</v>
      </c>
      <c r="D114" t="str">
        <f>T("28")</f>
        <v>28</v>
      </c>
      <c r="E114" t="str">
        <f t="shared" si="21"/>
        <v>무장</v>
      </c>
      <c r="H114" t="str">
        <f t="shared" si="20"/>
        <v>스토리위즈</v>
      </c>
      <c r="I114" t="str">
        <f t="shared" si="23"/>
        <v>[e북]갓 오브 블랙필드</v>
      </c>
      <c r="J114">
        <v>3200</v>
      </c>
      <c r="K114">
        <v>18880</v>
      </c>
      <c r="L114">
        <v>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18880</v>
      </c>
      <c r="AH114">
        <v>6</v>
      </c>
      <c r="AI114">
        <v>0</v>
      </c>
      <c r="AJ114">
        <v>0</v>
      </c>
      <c r="AK114">
        <v>18880</v>
      </c>
      <c r="AL114">
        <v>0</v>
      </c>
      <c r="AM114">
        <v>0</v>
      </c>
      <c r="AN114">
        <v>0</v>
      </c>
      <c r="AO114">
        <v>0</v>
      </c>
      <c r="AP114">
        <v>13216</v>
      </c>
      <c r="AR114" t="str">
        <f t="shared" si="24"/>
        <v>0000000000000</v>
      </c>
      <c r="AT114" t="str">
        <f>T("9791137602434")</f>
        <v>9791137602434</v>
      </c>
      <c r="AV114" t="str">
        <f t="shared" si="22"/>
        <v>판타지 e북 &gt; 현대 판타지</v>
      </c>
    </row>
    <row r="115" spans="1:49" x14ac:dyDescent="0.4">
      <c r="A115">
        <v>2313017048</v>
      </c>
      <c r="B115">
        <v>2313017048</v>
      </c>
      <c r="C115" t="str">
        <f>T("[e북]사랑을 놓치고 (외전증보판) 1권")</f>
        <v>[e북]사랑을 놓치고 (외전증보판) 1권</v>
      </c>
      <c r="D115" t="str">
        <f>T("1")</f>
        <v>1</v>
      </c>
      <c r="E115" t="str">
        <f>T("차홍주")</f>
        <v>차홍주</v>
      </c>
      <c r="H115" t="str">
        <f>T("도서출판 태랑")</f>
        <v>도서출판 태랑</v>
      </c>
      <c r="I115" t="str">
        <f>T("[e북]사랑을 놓치고 (외전증보판)")</f>
        <v>[e북]사랑을 놓치고 (외전증보판)</v>
      </c>
      <c r="J115">
        <v>3000</v>
      </c>
      <c r="K115">
        <v>18000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18000</v>
      </c>
      <c r="AH115">
        <v>6</v>
      </c>
      <c r="AI115">
        <v>0</v>
      </c>
      <c r="AJ115">
        <v>0</v>
      </c>
      <c r="AK115">
        <v>18000</v>
      </c>
      <c r="AL115">
        <v>0</v>
      </c>
      <c r="AM115">
        <v>0</v>
      </c>
      <c r="AN115">
        <v>0</v>
      </c>
      <c r="AO115">
        <v>0</v>
      </c>
      <c r="AP115">
        <v>12600</v>
      </c>
      <c r="AT115" t="str">
        <f>T("9791164370672")</f>
        <v>9791164370672</v>
      </c>
      <c r="AV115" t="str">
        <f>T("로맨스 e북 &gt; 현대물")</f>
        <v>로맨스 e북 &gt; 현대물</v>
      </c>
      <c r="AW115" t="str">
        <f>T("로맨스 e북 &gt; 19+")</f>
        <v>로맨스 e북 &gt; 19+</v>
      </c>
    </row>
    <row r="116" spans="1:49" x14ac:dyDescent="0.4">
      <c r="A116">
        <v>2313016845</v>
      </c>
      <c r="B116">
        <v>2313016845</v>
      </c>
      <c r="C116" t="str">
        <f>T("[e북]아래층에 전남편이 산다 (외전증보판) 1권")</f>
        <v>[e북]아래층에 전남편이 산다 (외전증보판) 1권</v>
      </c>
      <c r="D116" t="str">
        <f>T("1")</f>
        <v>1</v>
      </c>
      <c r="E116" t="str">
        <f>T("스내치")</f>
        <v>스내치</v>
      </c>
      <c r="H116" t="str">
        <f>T("도서출판 태랑")</f>
        <v>도서출판 태랑</v>
      </c>
      <c r="I116" t="str">
        <f>T("[e북]아래층에 전남편이 산다 (외전증보판)")</f>
        <v>[e북]아래층에 전남편이 산다 (외전증보판)</v>
      </c>
      <c r="J116">
        <v>3500</v>
      </c>
      <c r="K116">
        <v>17500</v>
      </c>
      <c r="L116">
        <v>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17500</v>
      </c>
      <c r="AH116">
        <v>5</v>
      </c>
      <c r="AI116">
        <v>0</v>
      </c>
      <c r="AJ116">
        <v>0</v>
      </c>
      <c r="AK116">
        <v>17500</v>
      </c>
      <c r="AL116">
        <v>0</v>
      </c>
      <c r="AM116">
        <v>0</v>
      </c>
      <c r="AN116">
        <v>0</v>
      </c>
      <c r="AO116">
        <v>0</v>
      </c>
      <c r="AP116">
        <v>12250</v>
      </c>
      <c r="AT116" t="str">
        <f>T("9791164374571")</f>
        <v>9791164374571</v>
      </c>
      <c r="AV116" t="str">
        <f>T("로맨스 e북 &gt; 현대물")</f>
        <v>로맨스 e북 &gt; 현대물</v>
      </c>
      <c r="AW116" t="str">
        <f>T("로맨스 e북 &gt; 19+")</f>
        <v>로맨스 e북 &gt; 19+</v>
      </c>
    </row>
    <row r="117" spans="1:49" x14ac:dyDescent="0.4">
      <c r="B117">
        <v>2313017023</v>
      </c>
      <c r="C117" t="str">
        <f>T("[e북]뜨거운, 은밀한, 그렇게 녹은 (삽화본)")</f>
        <v>[e북]뜨거운, 은밀한, 그렇게 녹은 (삽화본)</v>
      </c>
      <c r="E117" t="str">
        <f>T("파인트리")</f>
        <v>파인트리</v>
      </c>
      <c r="H117" t="str">
        <f>T("도서출판 태랑")</f>
        <v>도서출판 태랑</v>
      </c>
      <c r="J117">
        <v>4800</v>
      </c>
      <c r="K117">
        <v>17280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17280</v>
      </c>
      <c r="AH117">
        <v>4</v>
      </c>
      <c r="AI117">
        <v>0</v>
      </c>
      <c r="AJ117">
        <v>0</v>
      </c>
      <c r="AK117">
        <v>17280</v>
      </c>
      <c r="AL117">
        <v>0</v>
      </c>
      <c r="AM117">
        <v>0</v>
      </c>
      <c r="AN117">
        <v>0</v>
      </c>
      <c r="AO117">
        <v>0</v>
      </c>
      <c r="AP117">
        <v>12096</v>
      </c>
      <c r="AT117" t="str">
        <f>T("9791164371877")</f>
        <v>9791164371877</v>
      </c>
      <c r="AV117" t="str">
        <f>T("로맨스 e북 &gt; 현대물")</f>
        <v>로맨스 e북 &gt; 현대물</v>
      </c>
    </row>
    <row r="118" spans="1:49" x14ac:dyDescent="0.4">
      <c r="A118">
        <v>2313009739</v>
      </c>
      <c r="B118">
        <v>2313011385</v>
      </c>
      <c r="C118" t="str">
        <f>T("[e북]컬러 러쉬 (외전)")</f>
        <v>[e북]컬러 러쉬 (외전)</v>
      </c>
      <c r="D118" t="str">
        <f>T("4")</f>
        <v>4</v>
      </c>
      <c r="E118" t="str">
        <f>T("세상")</f>
        <v>세상</v>
      </c>
      <c r="H118" t="str">
        <f>T("스토리위즈")</f>
        <v>스토리위즈</v>
      </c>
      <c r="I118" t="str">
        <f>T("[e북]컬러 러쉬")</f>
        <v>[e북]컬러 러쉬</v>
      </c>
      <c r="J118">
        <v>1000</v>
      </c>
      <c r="K118">
        <v>17000</v>
      </c>
      <c r="L118">
        <v>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17000</v>
      </c>
      <c r="AH118">
        <v>17</v>
      </c>
      <c r="AI118">
        <v>0</v>
      </c>
      <c r="AJ118">
        <v>0</v>
      </c>
      <c r="AK118">
        <v>17000</v>
      </c>
      <c r="AL118">
        <v>0</v>
      </c>
      <c r="AM118">
        <v>0</v>
      </c>
      <c r="AN118">
        <v>0</v>
      </c>
      <c r="AO118">
        <v>0</v>
      </c>
      <c r="AP118">
        <v>11900</v>
      </c>
      <c r="AR118" t="str">
        <f>T("0000000000000")</f>
        <v>0000000000000</v>
      </c>
      <c r="AT118" t="str">
        <f>T("9791137600355")</f>
        <v>9791137600355</v>
      </c>
      <c r="AV118" t="str">
        <f>T("BL 소설 e북 &gt; 현대물")</f>
        <v>BL 소설 e북 &gt; 현대물</v>
      </c>
    </row>
    <row r="119" spans="1:49" x14ac:dyDescent="0.4">
      <c r="A119">
        <v>2313016847</v>
      </c>
      <c r="B119">
        <v>2313016847</v>
      </c>
      <c r="C119" t="str">
        <f>T("[e북]퇴마사(巫者) 1권")</f>
        <v>[e북]퇴마사(巫者) 1권</v>
      </c>
      <c r="D119" t="str">
        <f>T("1")</f>
        <v>1</v>
      </c>
      <c r="E119" t="str">
        <f>T("시무(蒔舞)")</f>
        <v>시무(蒔舞)</v>
      </c>
      <c r="H119" t="str">
        <f>T("도서출판 태랑")</f>
        <v>도서출판 태랑</v>
      </c>
      <c r="I119" t="str">
        <f>T("[e북]퇴마사(巫者)")</f>
        <v>[e북]퇴마사(巫者)</v>
      </c>
      <c r="J119">
        <v>3300</v>
      </c>
      <c r="K119">
        <v>16500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16500</v>
      </c>
      <c r="AH119">
        <v>5</v>
      </c>
      <c r="AI119">
        <v>0</v>
      </c>
      <c r="AJ119">
        <v>0</v>
      </c>
      <c r="AK119">
        <v>13200</v>
      </c>
      <c r="AL119">
        <v>0</v>
      </c>
      <c r="AM119">
        <v>3960</v>
      </c>
      <c r="AN119">
        <v>-1188</v>
      </c>
      <c r="AO119">
        <v>0</v>
      </c>
      <c r="AP119">
        <v>11180.4</v>
      </c>
      <c r="AT119" t="str">
        <f>T("9791164374779")</f>
        <v>9791164374779</v>
      </c>
      <c r="AV119" t="str">
        <f>T("BL 소설 e북 &gt; 해외 소설")</f>
        <v>BL 소설 e북 &gt; 해외 소설</v>
      </c>
    </row>
    <row r="120" spans="1:49" x14ac:dyDescent="0.4">
      <c r="A120">
        <v>2313008324</v>
      </c>
      <c r="B120">
        <v>2313008332</v>
      </c>
      <c r="C120" t="str">
        <f>T("[e북]간신이 나라를 살림 9권")</f>
        <v>[e북]간신이 나라를 살림 9권</v>
      </c>
      <c r="D120" t="str">
        <f>T("9")</f>
        <v>9</v>
      </c>
      <c r="E120" t="str">
        <f>T("루이세")</f>
        <v>루이세</v>
      </c>
      <c r="H120" t="str">
        <f>T("스토리위즈")</f>
        <v>스토리위즈</v>
      </c>
      <c r="I120" t="str">
        <f>T("[e북]간신이 나라를 살림")</f>
        <v>[e북]간신이 나라를 살림</v>
      </c>
      <c r="J120">
        <v>3200</v>
      </c>
      <c r="K120">
        <v>16000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132800</v>
      </c>
      <c r="T120">
        <v>83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-3200</v>
      </c>
      <c r="AD120">
        <v>2</v>
      </c>
      <c r="AE120">
        <v>0</v>
      </c>
      <c r="AF120">
        <v>0</v>
      </c>
      <c r="AG120">
        <v>148800</v>
      </c>
      <c r="AH120">
        <v>88</v>
      </c>
      <c r="AI120">
        <v>-3200</v>
      </c>
      <c r="AJ120">
        <v>2</v>
      </c>
      <c r="AK120">
        <v>148800</v>
      </c>
      <c r="AL120">
        <v>-3200</v>
      </c>
      <c r="AM120">
        <v>0</v>
      </c>
      <c r="AN120">
        <v>0</v>
      </c>
      <c r="AO120">
        <v>0</v>
      </c>
      <c r="AP120">
        <v>101920</v>
      </c>
      <c r="AT120" t="str">
        <f>T("9791165310790")</f>
        <v>9791165310790</v>
      </c>
      <c r="AV120" t="str">
        <f>T("판타지 e북 &gt; 퓨전 판타지")</f>
        <v>판타지 e북 &gt; 퓨전 판타지</v>
      </c>
    </row>
    <row r="121" spans="1:49" x14ac:dyDescent="0.4">
      <c r="A121">
        <v>2313011938</v>
      </c>
      <c r="B121">
        <v>2313011941</v>
      </c>
      <c r="C121" t="str">
        <f>T("[e북]최종 보스 : 빛을 향해 달리는 그림자 1부 4권")</f>
        <v>[e북]최종 보스 : 빛을 향해 달리는 그림자 1부 4권</v>
      </c>
      <c r="D121" t="str">
        <f>T("4")</f>
        <v>4</v>
      </c>
      <c r="E121" t="str">
        <f>T("무장")</f>
        <v>무장</v>
      </c>
      <c r="H121" t="str">
        <f>T("스토리위즈")</f>
        <v>스토리위즈</v>
      </c>
      <c r="I121" t="str">
        <f>T("[e북]최종 보스 : 빛을 향해 달리는 그림자")</f>
        <v>[e북]최종 보스 : 빛을 향해 달리는 그림자</v>
      </c>
      <c r="J121">
        <v>3200</v>
      </c>
      <c r="K121">
        <v>16000</v>
      </c>
      <c r="L121">
        <v>5</v>
      </c>
      <c r="M121">
        <v>0</v>
      </c>
      <c r="N121">
        <v>143190</v>
      </c>
      <c r="O121">
        <v>193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-1530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159190</v>
      </c>
      <c r="AH121">
        <v>198</v>
      </c>
      <c r="AI121">
        <v>-1530</v>
      </c>
      <c r="AJ121">
        <v>2</v>
      </c>
      <c r="AK121">
        <v>158577</v>
      </c>
      <c r="AL121">
        <v>-1530</v>
      </c>
      <c r="AM121">
        <v>735.6</v>
      </c>
      <c r="AN121">
        <v>-220.68</v>
      </c>
      <c r="AO121">
        <v>0</v>
      </c>
      <c r="AP121">
        <v>110293.34</v>
      </c>
      <c r="AT121" t="str">
        <f>T("9791137601048")</f>
        <v>9791137601048</v>
      </c>
      <c r="AV121" t="str">
        <f>T("판타지 e북 &gt; 현대 판타지")</f>
        <v>판타지 e북 &gt; 현대 판타지</v>
      </c>
    </row>
    <row r="122" spans="1:49" x14ac:dyDescent="0.4">
      <c r="A122">
        <v>2313011938</v>
      </c>
      <c r="B122">
        <v>2313011954</v>
      </c>
      <c r="C122" t="str">
        <f>T("[e북]최종 보스 : 빛을 향해 달리는 그림자 1부 17권 (완결)")</f>
        <v>[e북]최종 보스 : 빛을 향해 달리는 그림자 1부 17권 (완결)</v>
      </c>
      <c r="D122" t="str">
        <f>T("17")</f>
        <v>17</v>
      </c>
      <c r="E122" t="str">
        <f>T("무장")</f>
        <v>무장</v>
      </c>
      <c r="H122" t="str">
        <f>T("스토리위즈")</f>
        <v>스토리위즈</v>
      </c>
      <c r="I122" t="str">
        <f>T("[e북]최종 보스 : 빛을 향해 달리는 그림자")</f>
        <v>[e북]최종 보스 : 빛을 향해 달리는 그림자</v>
      </c>
      <c r="J122">
        <v>3200</v>
      </c>
      <c r="K122">
        <v>16000</v>
      </c>
      <c r="L122">
        <v>5</v>
      </c>
      <c r="M122">
        <v>0</v>
      </c>
      <c r="N122">
        <v>108090</v>
      </c>
      <c r="O122">
        <v>154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-630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124090</v>
      </c>
      <c r="AH122">
        <v>159</v>
      </c>
      <c r="AI122">
        <v>-630</v>
      </c>
      <c r="AJ122">
        <v>1</v>
      </c>
      <c r="AK122">
        <v>123478</v>
      </c>
      <c r="AL122">
        <v>-630</v>
      </c>
      <c r="AM122">
        <v>734.4</v>
      </c>
      <c r="AN122">
        <v>-220.32</v>
      </c>
      <c r="AO122">
        <v>0</v>
      </c>
      <c r="AP122">
        <v>86353.45</v>
      </c>
      <c r="AT122" t="str">
        <f>T("9791137601178")</f>
        <v>9791137601178</v>
      </c>
      <c r="AV122" t="str">
        <f>T("판타지 e북 &gt; 현대 판타지")</f>
        <v>판타지 e북 &gt; 현대 판타지</v>
      </c>
    </row>
    <row r="123" spans="1:49" x14ac:dyDescent="0.4">
      <c r="A123">
        <v>2313016862</v>
      </c>
      <c r="B123">
        <v>2313016861</v>
      </c>
      <c r="C123" t="str">
        <f>T("[e북]베리타(verità) (외전증보판) 2권 (완결)")</f>
        <v>[e북]베리타(verità) (외전증보판) 2권 (완결)</v>
      </c>
      <c r="D123" t="str">
        <f>T("2")</f>
        <v>2</v>
      </c>
      <c r="E123" t="str">
        <f>T("블랙커피")</f>
        <v>블랙커피</v>
      </c>
      <c r="H123" t="str">
        <f>T("도서출판 태랑")</f>
        <v>도서출판 태랑</v>
      </c>
      <c r="I123" t="str">
        <f>T("[e북]베리타(verità) (외전증보판)")</f>
        <v>[e북]베리타(verità) (외전증보판)</v>
      </c>
      <c r="J123">
        <v>2600</v>
      </c>
      <c r="K123">
        <v>14560</v>
      </c>
      <c r="L123">
        <v>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14560</v>
      </c>
      <c r="AH123">
        <v>6</v>
      </c>
      <c r="AI123">
        <v>0</v>
      </c>
      <c r="AJ123">
        <v>0</v>
      </c>
      <c r="AK123">
        <v>12220</v>
      </c>
      <c r="AL123">
        <v>0</v>
      </c>
      <c r="AM123">
        <v>2808</v>
      </c>
      <c r="AN123">
        <v>-842.4</v>
      </c>
      <c r="AO123">
        <v>0</v>
      </c>
      <c r="AP123">
        <v>9929.92</v>
      </c>
      <c r="AT123" t="str">
        <f>T("9791164374311")</f>
        <v>9791164374311</v>
      </c>
      <c r="AV123" t="str">
        <f>T("로맨스 e북 &gt; 현대물")</f>
        <v>로맨스 e북 &gt; 현대물</v>
      </c>
      <c r="AW123" t="str">
        <f>T("로맨스 e북 &gt; 19+")</f>
        <v>로맨스 e북 &gt; 19+</v>
      </c>
    </row>
    <row r="124" spans="1:49" x14ac:dyDescent="0.4">
      <c r="A124">
        <v>2313016834</v>
      </c>
      <c r="B124">
        <v>2313016834</v>
      </c>
      <c r="C124" t="str">
        <f>T("[e북]우리야, 이리온 (외전증보판) 1권")</f>
        <v>[e북]우리야, 이리온 (외전증보판) 1권</v>
      </c>
      <c r="D124" t="str">
        <f>T("1")</f>
        <v>1</v>
      </c>
      <c r="E124" t="str">
        <f>T("김온별(러브마인)")</f>
        <v>김온별(러브마인)</v>
      </c>
      <c r="H124" t="str">
        <f>T("도서출판 태랑")</f>
        <v>도서출판 태랑</v>
      </c>
      <c r="I124" t="str">
        <f>T("[e북]우리야, 이리온 (외전증보판)")</f>
        <v>[e북]우리야, 이리온 (외전증보판)</v>
      </c>
      <c r="J124">
        <v>3600</v>
      </c>
      <c r="K124">
        <v>14400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14400</v>
      </c>
      <c r="AH124">
        <v>4</v>
      </c>
      <c r="AI124">
        <v>0</v>
      </c>
      <c r="AJ124">
        <v>0</v>
      </c>
      <c r="AK124">
        <v>14400</v>
      </c>
      <c r="AL124">
        <v>0</v>
      </c>
      <c r="AM124">
        <v>0</v>
      </c>
      <c r="AN124">
        <v>0</v>
      </c>
      <c r="AO124">
        <v>0</v>
      </c>
      <c r="AP124">
        <v>10080</v>
      </c>
      <c r="AT124" t="str">
        <f>T("9791164374939")</f>
        <v>9791164374939</v>
      </c>
      <c r="AV124" t="str">
        <f>T("로맨스 e북 &gt; 현대물")</f>
        <v>로맨스 e북 &gt; 현대물</v>
      </c>
      <c r="AW124" t="str">
        <f>T("로맨스 e북 &gt; 19+")</f>
        <v>로맨스 e북 &gt; 19+</v>
      </c>
    </row>
    <row r="125" spans="1:49" x14ac:dyDescent="0.4">
      <c r="A125">
        <v>2313017150</v>
      </c>
      <c r="B125">
        <v>2313017150</v>
      </c>
      <c r="C125" t="str">
        <f>T("[e북]짝사랑 이별곡 1권")</f>
        <v>[e북]짝사랑 이별곡 1권</v>
      </c>
      <c r="D125" t="str">
        <f>T("1")</f>
        <v>1</v>
      </c>
      <c r="E125" t="str">
        <f>T("모리미")</f>
        <v>모리미</v>
      </c>
      <c r="H125" t="str">
        <f>T("도서출판 태랑")</f>
        <v>도서출판 태랑</v>
      </c>
      <c r="I125" t="str">
        <f>T("[e북]짝사랑 이별곡")</f>
        <v>[e북]짝사랑 이별곡</v>
      </c>
      <c r="J125">
        <v>2400</v>
      </c>
      <c r="K125">
        <v>14400</v>
      </c>
      <c r="L125">
        <v>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14400</v>
      </c>
      <c r="AH125">
        <v>6</v>
      </c>
      <c r="AI125">
        <v>0</v>
      </c>
      <c r="AJ125">
        <v>0</v>
      </c>
      <c r="AK125">
        <v>14400</v>
      </c>
      <c r="AL125">
        <v>0</v>
      </c>
      <c r="AM125">
        <v>0</v>
      </c>
      <c r="AN125">
        <v>0</v>
      </c>
      <c r="AO125">
        <v>0</v>
      </c>
      <c r="AP125">
        <v>10080</v>
      </c>
      <c r="AT125" t="str">
        <f>T("9791189084370")</f>
        <v>9791189084370</v>
      </c>
      <c r="AV125" t="str">
        <f>T("BL 소설 e북 &gt; 현대물")</f>
        <v>BL 소설 e북 &gt; 현대물</v>
      </c>
    </row>
    <row r="126" spans="1:49" x14ac:dyDescent="0.4">
      <c r="A126">
        <v>2313007027</v>
      </c>
      <c r="B126">
        <v>2313007027</v>
      </c>
      <c r="C126" t="str">
        <f>T("[e북]레이디 스칼렛 1권")</f>
        <v>[e북]레이디 스칼렛 1권</v>
      </c>
      <c r="D126" t="str">
        <f>T("1")</f>
        <v>1</v>
      </c>
      <c r="E126" t="str">
        <f>T("불고기자리")</f>
        <v>불고기자리</v>
      </c>
      <c r="H126" t="str">
        <f>T("스토리위즈")</f>
        <v>스토리위즈</v>
      </c>
      <c r="I126" t="str">
        <f>T("[e북]레이디 스칼렛")</f>
        <v>[e북]레이디 스칼렛</v>
      </c>
      <c r="J126">
        <v>3500</v>
      </c>
      <c r="K126">
        <v>14000</v>
      </c>
      <c r="L126">
        <v>4</v>
      </c>
      <c r="M126">
        <v>0</v>
      </c>
      <c r="N126">
        <v>0</v>
      </c>
      <c r="O126">
        <v>0</v>
      </c>
      <c r="P126">
        <v>119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14000</v>
      </c>
      <c r="AH126">
        <v>123</v>
      </c>
      <c r="AI126">
        <v>0</v>
      </c>
      <c r="AJ126">
        <v>0</v>
      </c>
      <c r="AK126">
        <v>14000</v>
      </c>
      <c r="AL126">
        <v>0</v>
      </c>
      <c r="AM126">
        <v>0</v>
      </c>
      <c r="AN126">
        <v>0</v>
      </c>
      <c r="AO126">
        <v>0</v>
      </c>
      <c r="AP126">
        <v>9800</v>
      </c>
      <c r="AT126" t="str">
        <f>T("9791159288968")</f>
        <v>9791159288968</v>
      </c>
      <c r="AV126" t="str">
        <f>T("로판 e북 &gt; 서양풍 로판")</f>
        <v>로판 e북 &gt; 서양풍 로판</v>
      </c>
    </row>
    <row r="127" spans="1:49" x14ac:dyDescent="0.4">
      <c r="A127">
        <v>2313007027</v>
      </c>
      <c r="B127">
        <v>2313007028</v>
      </c>
      <c r="C127" t="str">
        <f>T("[e북]레이디 스칼렛 2권")</f>
        <v>[e북]레이디 스칼렛 2권</v>
      </c>
      <c r="D127" t="str">
        <f>T("2")</f>
        <v>2</v>
      </c>
      <c r="E127" t="str">
        <f>T("불고기자리")</f>
        <v>불고기자리</v>
      </c>
      <c r="H127" t="str">
        <f>T("스토리위즈")</f>
        <v>스토리위즈</v>
      </c>
      <c r="I127" t="str">
        <f>T("[e북]레이디 스칼렛")</f>
        <v>[e북]레이디 스칼렛</v>
      </c>
      <c r="J127">
        <v>3500</v>
      </c>
      <c r="K127">
        <v>14000</v>
      </c>
      <c r="L127">
        <v>4</v>
      </c>
      <c r="M127">
        <v>0</v>
      </c>
      <c r="N127">
        <v>0</v>
      </c>
      <c r="O127">
        <v>0</v>
      </c>
      <c r="P127">
        <v>102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14000</v>
      </c>
      <c r="AH127">
        <v>106</v>
      </c>
      <c r="AI127">
        <v>0</v>
      </c>
      <c r="AJ127">
        <v>0</v>
      </c>
      <c r="AK127">
        <v>14000</v>
      </c>
      <c r="AL127">
        <v>0</v>
      </c>
      <c r="AM127">
        <v>0</v>
      </c>
      <c r="AN127">
        <v>0</v>
      </c>
      <c r="AO127">
        <v>0</v>
      </c>
      <c r="AP127">
        <v>9800</v>
      </c>
      <c r="AT127" t="str">
        <f>T("9791159288975")</f>
        <v>9791159288975</v>
      </c>
      <c r="AV127" t="str">
        <f>T("로판 e북 &gt; 서양풍 로판")</f>
        <v>로판 e북 &gt; 서양풍 로판</v>
      </c>
    </row>
    <row r="128" spans="1:49" x14ac:dyDescent="0.4">
      <c r="A128">
        <v>2313016845</v>
      </c>
      <c r="B128">
        <v>2313016844</v>
      </c>
      <c r="C128" t="str">
        <f>T("[e북]아래층에 전남편이 산다 (외전증보판) 2권 (완결)")</f>
        <v>[e북]아래층에 전남편이 산다 (외전증보판) 2권 (완결)</v>
      </c>
      <c r="D128" t="str">
        <f>T("2")</f>
        <v>2</v>
      </c>
      <c r="E128" t="str">
        <f>T("스내치")</f>
        <v>스내치</v>
      </c>
      <c r="H128" t="str">
        <f>T("도서출판 태랑")</f>
        <v>도서출판 태랑</v>
      </c>
      <c r="I128" t="str">
        <f>T("[e북]아래층에 전남편이 산다 (외전증보판)")</f>
        <v>[e북]아래층에 전남편이 산다 (외전증보판)</v>
      </c>
      <c r="J128">
        <v>3500</v>
      </c>
      <c r="K128">
        <v>14000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14000</v>
      </c>
      <c r="AH128">
        <v>4</v>
      </c>
      <c r="AI128">
        <v>0</v>
      </c>
      <c r="AJ128">
        <v>0</v>
      </c>
      <c r="AK128">
        <v>14000</v>
      </c>
      <c r="AL128">
        <v>0</v>
      </c>
      <c r="AM128">
        <v>0</v>
      </c>
      <c r="AN128">
        <v>0</v>
      </c>
      <c r="AO128">
        <v>0</v>
      </c>
      <c r="AP128">
        <v>9800</v>
      </c>
      <c r="AT128" t="str">
        <f>T("9791164374588")</f>
        <v>9791164374588</v>
      </c>
      <c r="AV128" t="str">
        <f>T("로맨스 e북 &gt; 현대물")</f>
        <v>로맨스 e북 &gt; 현대물</v>
      </c>
      <c r="AW128" t="str">
        <f>T("로맨스 e북 &gt; 19+")</f>
        <v>로맨스 e북 &gt; 19+</v>
      </c>
    </row>
    <row r="129" spans="1:49" x14ac:dyDescent="0.4">
      <c r="A129">
        <v>2313017117</v>
      </c>
      <c r="B129">
        <v>2313017116</v>
      </c>
      <c r="C129" t="str">
        <f>T("[e북]봄나물 (Rookie) 2권")</f>
        <v>[e북]봄나물 (Rookie) 2권</v>
      </c>
      <c r="D129" t="str">
        <f>T("2")</f>
        <v>2</v>
      </c>
      <c r="E129" t="str">
        <f>T("발상")</f>
        <v>발상</v>
      </c>
      <c r="H129" t="str">
        <f>T("도서출판 태랑")</f>
        <v>도서출판 태랑</v>
      </c>
      <c r="I129" t="str">
        <f>T("[e북]봄나물(Rookie)")</f>
        <v>[e북]봄나물(Rookie)</v>
      </c>
      <c r="J129">
        <v>3500</v>
      </c>
      <c r="K129">
        <v>14000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14000</v>
      </c>
      <c r="AH129">
        <v>4</v>
      </c>
      <c r="AI129">
        <v>0</v>
      </c>
      <c r="AJ129">
        <v>0</v>
      </c>
      <c r="AK129">
        <v>14000</v>
      </c>
      <c r="AL129">
        <v>0</v>
      </c>
      <c r="AM129">
        <v>0</v>
      </c>
      <c r="AN129">
        <v>0</v>
      </c>
      <c r="AO129">
        <v>0</v>
      </c>
      <c r="AP129">
        <v>9800</v>
      </c>
      <c r="AT129" t="str">
        <f>T("9791189627515")</f>
        <v>9791189627515</v>
      </c>
      <c r="AV129" t="str">
        <f>T("BL 소설 e북 &gt; 현대물")</f>
        <v>BL 소설 e북 &gt; 현대물</v>
      </c>
    </row>
    <row r="130" spans="1:49" x14ac:dyDescent="0.4">
      <c r="A130">
        <v>2313011919</v>
      </c>
      <c r="B130">
        <v>2313011919</v>
      </c>
      <c r="C130" t="str">
        <f>T("[e북]임신부터 할까요? 1권")</f>
        <v>[e북]임신부터 할까요? 1권</v>
      </c>
      <c r="D130" t="str">
        <f>T("1")</f>
        <v>1</v>
      </c>
      <c r="E130" t="str">
        <f>T("온서")</f>
        <v>온서</v>
      </c>
      <c r="H130" t="str">
        <f>T("스토리위즈")</f>
        <v>스토리위즈</v>
      </c>
      <c r="I130" t="str">
        <f>T("[e북]임신부터 할까요?")</f>
        <v>[e북]임신부터 할까요?</v>
      </c>
      <c r="J130">
        <v>2400</v>
      </c>
      <c r="K130">
        <v>13200</v>
      </c>
      <c r="L130">
        <v>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13200</v>
      </c>
      <c r="AH130">
        <v>6</v>
      </c>
      <c r="AI130">
        <v>0</v>
      </c>
      <c r="AJ130">
        <v>0</v>
      </c>
      <c r="AK130">
        <v>13200</v>
      </c>
      <c r="AL130">
        <v>0</v>
      </c>
      <c r="AM130">
        <v>0</v>
      </c>
      <c r="AN130">
        <v>0</v>
      </c>
      <c r="AO130">
        <v>0</v>
      </c>
      <c r="AP130">
        <v>9240</v>
      </c>
      <c r="AT130" t="str">
        <f>T("9791137600423")</f>
        <v>9791137600423</v>
      </c>
      <c r="AV130" t="str">
        <f>T("로맨스 e북 &gt; 현대물")</f>
        <v>로맨스 e북 &gt; 현대물</v>
      </c>
    </row>
    <row r="131" spans="1:49" x14ac:dyDescent="0.4">
      <c r="A131">
        <v>2313016847</v>
      </c>
      <c r="B131">
        <v>2313016846</v>
      </c>
      <c r="C131" t="str">
        <f>T("[e북]퇴마사(巫者) 2권 (완결)")</f>
        <v>[e북]퇴마사(巫者) 2권 (완결)</v>
      </c>
      <c r="D131" t="str">
        <f>T("2")</f>
        <v>2</v>
      </c>
      <c r="E131" t="str">
        <f>T("시무(蒔舞)")</f>
        <v>시무(蒔舞)</v>
      </c>
      <c r="H131" t="str">
        <f>T("도서출판 태랑")</f>
        <v>도서출판 태랑</v>
      </c>
      <c r="I131" t="str">
        <f>T("[e북]퇴마사(巫者)")</f>
        <v>[e북]퇴마사(巫者)</v>
      </c>
      <c r="J131">
        <v>3300</v>
      </c>
      <c r="K131">
        <v>13200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13200</v>
      </c>
      <c r="AH131">
        <v>4</v>
      </c>
      <c r="AI131">
        <v>0</v>
      </c>
      <c r="AJ131">
        <v>0</v>
      </c>
      <c r="AK131">
        <v>13200</v>
      </c>
      <c r="AL131">
        <v>0</v>
      </c>
      <c r="AM131">
        <v>0</v>
      </c>
      <c r="AN131">
        <v>0</v>
      </c>
      <c r="AO131">
        <v>0</v>
      </c>
      <c r="AP131">
        <v>9240</v>
      </c>
      <c r="AT131" t="str">
        <f>T("9791164374786")</f>
        <v>9791164374786</v>
      </c>
      <c r="AV131" t="str">
        <f>T("BL 소설 e북 &gt; 해외 소설")</f>
        <v>BL 소설 e북 &gt; 해외 소설</v>
      </c>
    </row>
    <row r="132" spans="1:49" x14ac:dyDescent="0.4">
      <c r="A132">
        <v>2313016886</v>
      </c>
      <c r="B132">
        <v>2313016885</v>
      </c>
      <c r="C132" t="str">
        <f>T("[e북]두 형사 (개정증보 삽화본) 2권 (완결)")</f>
        <v>[e북]두 형사 (개정증보 삽화본) 2권 (완결)</v>
      </c>
      <c r="D132" t="str">
        <f>T("2")</f>
        <v>2</v>
      </c>
      <c r="E132" t="str">
        <f>T("블랙커피")</f>
        <v>블랙커피</v>
      </c>
      <c r="H132" t="str">
        <f>T("도서출판 태랑")</f>
        <v>도서출판 태랑</v>
      </c>
      <c r="I132" t="str">
        <f>T("[e북]두 형사 (개정증보 삽화본)")</f>
        <v>[e북]두 형사 (개정증보 삽화본)</v>
      </c>
      <c r="J132">
        <v>3500</v>
      </c>
      <c r="K132">
        <v>12950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12950</v>
      </c>
      <c r="AH132">
        <v>4</v>
      </c>
      <c r="AI132">
        <v>0</v>
      </c>
      <c r="AJ132">
        <v>0</v>
      </c>
      <c r="AK132">
        <v>12950</v>
      </c>
      <c r="AL132">
        <v>0</v>
      </c>
      <c r="AM132">
        <v>0</v>
      </c>
      <c r="AN132">
        <v>0</v>
      </c>
      <c r="AO132">
        <v>0</v>
      </c>
      <c r="AP132">
        <v>9065</v>
      </c>
      <c r="AT132" t="str">
        <f>T("9791164374076")</f>
        <v>9791164374076</v>
      </c>
      <c r="AV132" t="str">
        <f>T("로맨스 e북 &gt; 현대물")</f>
        <v>로맨스 e북 &gt; 현대물</v>
      </c>
      <c r="AW132" t="str">
        <f>T("로맨스 e북 &gt; 19+")</f>
        <v>로맨스 e북 &gt; 19+</v>
      </c>
    </row>
    <row r="133" spans="1:49" x14ac:dyDescent="0.4">
      <c r="A133">
        <v>2313016886</v>
      </c>
      <c r="B133">
        <v>2313016886</v>
      </c>
      <c r="C133" t="str">
        <f>T("[e북]두 형사 (개정증보 삽화본) 1권")</f>
        <v>[e북]두 형사 (개정증보 삽화본) 1권</v>
      </c>
      <c r="D133" t="str">
        <f>T("1")</f>
        <v>1</v>
      </c>
      <c r="E133" t="str">
        <f>T("블랙커피")</f>
        <v>블랙커피</v>
      </c>
      <c r="H133" t="str">
        <f>T("도서출판 태랑")</f>
        <v>도서출판 태랑</v>
      </c>
      <c r="I133" t="str">
        <f>T("[e북]두 형사 (개정증보 삽화본)")</f>
        <v>[e북]두 형사 (개정증보 삽화본)</v>
      </c>
      <c r="J133">
        <v>3500</v>
      </c>
      <c r="K133">
        <v>12950</v>
      </c>
      <c r="L133">
        <v>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12950</v>
      </c>
      <c r="AH133">
        <v>4</v>
      </c>
      <c r="AI133">
        <v>0</v>
      </c>
      <c r="AJ133">
        <v>0</v>
      </c>
      <c r="AK133">
        <v>12950</v>
      </c>
      <c r="AL133">
        <v>0</v>
      </c>
      <c r="AM133">
        <v>0</v>
      </c>
      <c r="AN133">
        <v>0</v>
      </c>
      <c r="AO133">
        <v>0</v>
      </c>
      <c r="AP133">
        <v>9065</v>
      </c>
      <c r="AT133" t="str">
        <f>T("9791164374069")</f>
        <v>9791164374069</v>
      </c>
      <c r="AV133" t="str">
        <f>T("로맨스 e북 &gt; 현대물")</f>
        <v>로맨스 e북 &gt; 현대물</v>
      </c>
      <c r="AW133" t="str">
        <f>T("로맨스 e북 &gt; 19+")</f>
        <v>로맨스 e북 &gt; 19+</v>
      </c>
    </row>
    <row r="134" spans="1:49" x14ac:dyDescent="0.4">
      <c r="A134">
        <v>2313007047</v>
      </c>
      <c r="B134">
        <v>2313007068</v>
      </c>
      <c r="C134" t="str">
        <f>T("[e북]삼국지 호접몽전 2부 8권")</f>
        <v>[e북]삼국지 호접몽전 2부 8권</v>
      </c>
      <c r="D134" t="str">
        <f>T("22")</f>
        <v>22</v>
      </c>
      <c r="E134" t="str">
        <f>T("청빙")</f>
        <v>청빙</v>
      </c>
      <c r="H134" t="str">
        <f t="shared" ref="H134:H139" si="25">T("스토리위즈")</f>
        <v>스토리위즈</v>
      </c>
      <c r="I134" t="str">
        <f>T("[e북]삼국지 호접몽전")</f>
        <v>[e북]삼국지 호접몽전</v>
      </c>
      <c r="J134">
        <v>3200</v>
      </c>
      <c r="K134">
        <v>12800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12800</v>
      </c>
      <c r="AH134">
        <v>4</v>
      </c>
      <c r="AI134">
        <v>0</v>
      </c>
      <c r="AJ134">
        <v>0</v>
      </c>
      <c r="AK134">
        <v>12800</v>
      </c>
      <c r="AL134">
        <v>0</v>
      </c>
      <c r="AM134">
        <v>0</v>
      </c>
      <c r="AN134">
        <v>0</v>
      </c>
      <c r="AO134">
        <v>0</v>
      </c>
      <c r="AP134">
        <v>8960</v>
      </c>
      <c r="AT134" t="str">
        <f>T("9791159289446")</f>
        <v>9791159289446</v>
      </c>
      <c r="AV134" t="str">
        <f>T("판타지 e북 &gt; 퓨전 판타지")</f>
        <v>판타지 e북 &gt; 퓨전 판타지</v>
      </c>
    </row>
    <row r="135" spans="1:49" x14ac:dyDescent="0.4">
      <c r="A135">
        <v>2313007047</v>
      </c>
      <c r="B135">
        <v>2313007072</v>
      </c>
      <c r="C135" t="str">
        <f>T("[e북]삼국지 호접몽전 3부 2권")</f>
        <v>[e북]삼국지 호접몽전 3부 2권</v>
      </c>
      <c r="D135" t="str">
        <f>T("26")</f>
        <v>26</v>
      </c>
      <c r="E135" t="str">
        <f>T("청빙")</f>
        <v>청빙</v>
      </c>
      <c r="H135" t="str">
        <f t="shared" si="25"/>
        <v>스토리위즈</v>
      </c>
      <c r="I135" t="str">
        <f>T("[e북]삼국지 호접몽전")</f>
        <v>[e북]삼국지 호접몽전</v>
      </c>
      <c r="J135">
        <v>3200</v>
      </c>
      <c r="K135">
        <v>12800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12800</v>
      </c>
      <c r="AH135">
        <v>4</v>
      </c>
      <c r="AI135">
        <v>0</v>
      </c>
      <c r="AJ135">
        <v>0</v>
      </c>
      <c r="AK135">
        <v>12800</v>
      </c>
      <c r="AL135">
        <v>0</v>
      </c>
      <c r="AM135">
        <v>0</v>
      </c>
      <c r="AN135">
        <v>0</v>
      </c>
      <c r="AO135">
        <v>0</v>
      </c>
      <c r="AP135">
        <v>8960</v>
      </c>
      <c r="AT135" t="str">
        <f>T("9791159289484")</f>
        <v>9791159289484</v>
      </c>
      <c r="AV135" t="str">
        <f>T("판타지 e북 &gt; 퓨전 판타지")</f>
        <v>판타지 e북 &gt; 퓨전 판타지</v>
      </c>
    </row>
    <row r="136" spans="1:49" x14ac:dyDescent="0.4">
      <c r="A136">
        <v>2313007047</v>
      </c>
      <c r="B136">
        <v>2313007073</v>
      </c>
      <c r="C136" t="str">
        <f>T("[e북]삼국지 호접몽전 3부 3권")</f>
        <v>[e북]삼국지 호접몽전 3부 3권</v>
      </c>
      <c r="D136" t="str">
        <f>T("27")</f>
        <v>27</v>
      </c>
      <c r="E136" t="str">
        <f>T("청빙")</f>
        <v>청빙</v>
      </c>
      <c r="H136" t="str">
        <f t="shared" si="25"/>
        <v>스토리위즈</v>
      </c>
      <c r="I136" t="str">
        <f>T("[e북]삼국지 호접몽전")</f>
        <v>[e북]삼국지 호접몽전</v>
      </c>
      <c r="J136">
        <v>3200</v>
      </c>
      <c r="K136">
        <v>12800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12800</v>
      </c>
      <c r="AH136">
        <v>4</v>
      </c>
      <c r="AI136">
        <v>0</v>
      </c>
      <c r="AJ136">
        <v>0</v>
      </c>
      <c r="AK136">
        <v>12800</v>
      </c>
      <c r="AL136">
        <v>0</v>
      </c>
      <c r="AM136">
        <v>0</v>
      </c>
      <c r="AN136">
        <v>0</v>
      </c>
      <c r="AO136">
        <v>0</v>
      </c>
      <c r="AP136">
        <v>8960</v>
      </c>
      <c r="AT136" t="str">
        <f>T("9791159289491")</f>
        <v>9791159289491</v>
      </c>
      <c r="AV136" t="str">
        <f>T("판타지 e북 &gt; 퓨전 판타지")</f>
        <v>판타지 e북 &gt; 퓨전 판타지</v>
      </c>
    </row>
    <row r="137" spans="1:49" x14ac:dyDescent="0.4">
      <c r="A137">
        <v>2313009986</v>
      </c>
      <c r="B137">
        <v>2313009987</v>
      </c>
      <c r="C137" t="str">
        <f>T("[e북]리얼 머니 2권")</f>
        <v>[e북]리얼 머니 2권</v>
      </c>
      <c r="D137" t="str">
        <f>T("2")</f>
        <v>2</v>
      </c>
      <c r="E137" t="str">
        <f>T("진문")</f>
        <v>진문</v>
      </c>
      <c r="H137" t="str">
        <f t="shared" si="25"/>
        <v>스토리위즈</v>
      </c>
      <c r="I137" t="str">
        <f>T("[e북]리얼 머니")</f>
        <v>[e북]리얼 머니</v>
      </c>
      <c r="J137">
        <v>3200</v>
      </c>
      <c r="K137">
        <v>12800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12800</v>
      </c>
      <c r="AH137">
        <v>4</v>
      </c>
      <c r="AI137">
        <v>0</v>
      </c>
      <c r="AJ137">
        <v>0</v>
      </c>
      <c r="AK137">
        <v>12800</v>
      </c>
      <c r="AL137">
        <v>0</v>
      </c>
      <c r="AM137">
        <v>0</v>
      </c>
      <c r="AN137">
        <v>0</v>
      </c>
      <c r="AO137">
        <v>0</v>
      </c>
      <c r="AP137">
        <v>8960</v>
      </c>
      <c r="AT137" t="str">
        <f>T("9791166068065")</f>
        <v>9791166068065</v>
      </c>
      <c r="AV137" t="str">
        <f>T("판타지 e북 &gt; 현대 판타지")</f>
        <v>판타지 e북 &gt; 현대 판타지</v>
      </c>
    </row>
    <row r="138" spans="1:49" x14ac:dyDescent="0.4">
      <c r="A138">
        <v>2313011938</v>
      </c>
      <c r="B138">
        <v>2313011951</v>
      </c>
      <c r="C138" t="str">
        <f>T("[e북]최종 보스 : 빛을 향해 달리는 그림자 1부 14권")</f>
        <v>[e북]최종 보스 : 빛을 향해 달리는 그림자 1부 14권</v>
      </c>
      <c r="D138" t="str">
        <f>T("14")</f>
        <v>14</v>
      </c>
      <c r="E138" t="str">
        <f>T("무장")</f>
        <v>무장</v>
      </c>
      <c r="H138" t="str">
        <f t="shared" si="25"/>
        <v>스토리위즈</v>
      </c>
      <c r="I138" t="str">
        <f>T("[e북]최종 보스 : 빛을 향해 달리는 그림자")</f>
        <v>[e북]최종 보스 : 빛을 향해 달리는 그림자</v>
      </c>
      <c r="J138">
        <v>3200</v>
      </c>
      <c r="K138">
        <v>12800</v>
      </c>
      <c r="L138">
        <v>4</v>
      </c>
      <c r="M138">
        <v>0</v>
      </c>
      <c r="N138">
        <v>109890</v>
      </c>
      <c r="O138">
        <v>156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-630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122690</v>
      </c>
      <c r="AH138">
        <v>160</v>
      </c>
      <c r="AI138">
        <v>-630</v>
      </c>
      <c r="AJ138">
        <v>1</v>
      </c>
      <c r="AK138">
        <v>122078</v>
      </c>
      <c r="AL138">
        <v>-630</v>
      </c>
      <c r="AM138">
        <v>734.4</v>
      </c>
      <c r="AN138">
        <v>-220.32</v>
      </c>
      <c r="AO138">
        <v>0</v>
      </c>
      <c r="AP138">
        <v>85373.45</v>
      </c>
      <c r="AT138" t="str">
        <f>T("9791137601147")</f>
        <v>9791137601147</v>
      </c>
      <c r="AV138" t="str">
        <f>T("판타지 e북 &gt; 현대 판타지")</f>
        <v>판타지 e북 &gt; 현대 판타지</v>
      </c>
    </row>
    <row r="139" spans="1:49" x14ac:dyDescent="0.4">
      <c r="A139">
        <v>2313011938</v>
      </c>
      <c r="B139">
        <v>2313011952</v>
      </c>
      <c r="C139" t="str">
        <f>T("[e북]최종 보스 : 빛을 향해 달리는 그림자 1부 15권")</f>
        <v>[e북]최종 보스 : 빛을 향해 달리는 그림자 1부 15권</v>
      </c>
      <c r="D139" t="str">
        <f>T("15")</f>
        <v>15</v>
      </c>
      <c r="E139" t="str">
        <f>T("무장")</f>
        <v>무장</v>
      </c>
      <c r="H139" t="str">
        <f t="shared" si="25"/>
        <v>스토리위즈</v>
      </c>
      <c r="I139" t="str">
        <f>T("[e북]최종 보스 : 빛을 향해 달리는 그림자")</f>
        <v>[e북]최종 보스 : 빛을 향해 달리는 그림자</v>
      </c>
      <c r="J139">
        <v>3200</v>
      </c>
      <c r="K139">
        <v>12800</v>
      </c>
      <c r="L139">
        <v>4</v>
      </c>
      <c r="M139">
        <v>0</v>
      </c>
      <c r="N139">
        <v>108990</v>
      </c>
      <c r="O139">
        <v>155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-630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121790</v>
      </c>
      <c r="AH139">
        <v>159</v>
      </c>
      <c r="AI139">
        <v>-630</v>
      </c>
      <c r="AJ139">
        <v>1</v>
      </c>
      <c r="AK139">
        <v>121178</v>
      </c>
      <c r="AL139">
        <v>-630</v>
      </c>
      <c r="AM139">
        <v>734.4</v>
      </c>
      <c r="AN139">
        <v>-220.32</v>
      </c>
      <c r="AO139">
        <v>0</v>
      </c>
      <c r="AP139">
        <v>84743.45</v>
      </c>
      <c r="AT139" t="str">
        <f>T("9791137601154")</f>
        <v>9791137601154</v>
      </c>
      <c r="AV139" t="str">
        <f>T("판타지 e북 &gt; 현대 판타지")</f>
        <v>판타지 e북 &gt; 현대 판타지</v>
      </c>
    </row>
    <row r="140" spans="1:49" x14ac:dyDescent="0.4">
      <c r="A140">
        <v>2313016857</v>
      </c>
      <c r="B140">
        <v>2313016855</v>
      </c>
      <c r="C140" t="str">
        <f>T("[e북]소투스 (SOTUS) (외전)")</f>
        <v>[e북]소투스 (SOTUS) (외전)</v>
      </c>
      <c r="D140" t="str">
        <f>T("3")</f>
        <v>3</v>
      </c>
      <c r="E140" t="str">
        <f>T("BitterSweet")</f>
        <v>BitterSweet</v>
      </c>
      <c r="H140" t="str">
        <f>T("도서출판 태랑")</f>
        <v>도서출판 태랑</v>
      </c>
      <c r="I140" t="str">
        <f>T("[e북]소투스 (SOTUS)")</f>
        <v>[e북]소투스 (SOTUS)</v>
      </c>
      <c r="J140">
        <v>1800</v>
      </c>
      <c r="K140">
        <v>12600</v>
      </c>
      <c r="L140">
        <v>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12600</v>
      </c>
      <c r="AH140">
        <v>7</v>
      </c>
      <c r="AI140">
        <v>0</v>
      </c>
      <c r="AJ140">
        <v>0</v>
      </c>
      <c r="AK140">
        <v>12600</v>
      </c>
      <c r="AL140">
        <v>0</v>
      </c>
      <c r="AM140">
        <v>0</v>
      </c>
      <c r="AN140">
        <v>0</v>
      </c>
      <c r="AO140">
        <v>0</v>
      </c>
      <c r="AP140">
        <v>8820</v>
      </c>
      <c r="AT140" t="str">
        <f>T("9791164374656")</f>
        <v>9791164374656</v>
      </c>
      <c r="AV140" t="str">
        <f>T("BL 소설 e북 &gt; 해외 소설")</f>
        <v>BL 소설 e북 &gt; 해외 소설</v>
      </c>
    </row>
    <row r="141" spans="1:49" x14ac:dyDescent="0.4">
      <c r="A141">
        <v>2313012817</v>
      </c>
      <c r="B141">
        <v>2313012842</v>
      </c>
      <c r="C141" t="str">
        <f>T("[e북]갓 오브 블랙필드 외전 2권")</f>
        <v>[e북]갓 오브 블랙필드 외전 2권</v>
      </c>
      <c r="D141" t="str">
        <f>T("26")</f>
        <v>26</v>
      </c>
      <c r="E141" t="str">
        <f>T("무장")</f>
        <v>무장</v>
      </c>
      <c r="H141" t="str">
        <f>T("스토리위즈")</f>
        <v>스토리위즈</v>
      </c>
      <c r="I141" t="str">
        <f>T("[e북]갓 오브 블랙필드")</f>
        <v>[e북]갓 오브 블랙필드</v>
      </c>
      <c r="J141">
        <v>3200</v>
      </c>
      <c r="K141">
        <v>12480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12480</v>
      </c>
      <c r="AH141">
        <v>4</v>
      </c>
      <c r="AI141">
        <v>0</v>
      </c>
      <c r="AJ141">
        <v>0</v>
      </c>
      <c r="AK141">
        <v>9280</v>
      </c>
      <c r="AL141">
        <v>0</v>
      </c>
      <c r="AM141">
        <v>3840</v>
      </c>
      <c r="AN141">
        <v>-1152</v>
      </c>
      <c r="AO141">
        <v>0</v>
      </c>
      <c r="AP141">
        <v>8377.6</v>
      </c>
      <c r="AR141" t="str">
        <f>T("0000000000000")</f>
        <v>0000000000000</v>
      </c>
      <c r="AT141" t="str">
        <f>T("9791137602410")</f>
        <v>9791137602410</v>
      </c>
      <c r="AV141" t="str">
        <f>T("판타지 e북 &gt; 현대 판타지")</f>
        <v>판타지 e북 &gt; 현대 판타지</v>
      </c>
    </row>
    <row r="142" spans="1:49" x14ac:dyDescent="0.4">
      <c r="A142">
        <v>2313017163</v>
      </c>
      <c r="B142">
        <v>2313017168</v>
      </c>
      <c r="C142" t="str">
        <f>T("친절하기는 얼어 죽을 5화")</f>
        <v>친절하기는 얼어 죽을 5화</v>
      </c>
      <c r="D142" t="str">
        <f>T("6")</f>
        <v>6</v>
      </c>
      <c r="E142" t="str">
        <f>T("솜목화")</f>
        <v>솜목화</v>
      </c>
      <c r="H142" t="str">
        <f>T("블레슈")</f>
        <v>블레슈</v>
      </c>
      <c r="I142" t="str">
        <f>T("친절하기는 얼어 죽을")</f>
        <v>친절하기는 얼어 죽을</v>
      </c>
      <c r="J142">
        <v>100</v>
      </c>
      <c r="K142">
        <v>12300</v>
      </c>
      <c r="L142">
        <v>123</v>
      </c>
      <c r="M142">
        <v>0</v>
      </c>
      <c r="N142">
        <v>1300</v>
      </c>
      <c r="O142">
        <v>13</v>
      </c>
      <c r="P142">
        <v>1826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13600</v>
      </c>
      <c r="AH142">
        <v>1962</v>
      </c>
      <c r="AI142">
        <v>0</v>
      </c>
      <c r="AJ142">
        <v>0</v>
      </c>
      <c r="AK142">
        <v>13400</v>
      </c>
      <c r="AL142">
        <v>0</v>
      </c>
      <c r="AM142">
        <v>240</v>
      </c>
      <c r="AN142">
        <v>-72</v>
      </c>
      <c r="AO142">
        <v>0</v>
      </c>
      <c r="AP142">
        <v>8140.8</v>
      </c>
      <c r="AR142" t="str">
        <f>T("0000000000000")</f>
        <v>0000000000000</v>
      </c>
      <c r="AT142" t="str">
        <f>T("9791137604131")</f>
        <v>9791137604131</v>
      </c>
      <c r="AV142" t="str">
        <f>T("로맨스 웹소설 &gt; 현대물")</f>
        <v>로맨스 웹소설 &gt; 현대물</v>
      </c>
    </row>
    <row r="143" spans="1:49" x14ac:dyDescent="0.4">
      <c r="A143">
        <v>2313017163</v>
      </c>
      <c r="B143">
        <v>2313018080</v>
      </c>
      <c r="C143" t="str">
        <f>T("친절하기는 얼어 죽을 외전 7화")</f>
        <v>친절하기는 얼어 죽을 외전 7화</v>
      </c>
      <c r="D143" t="str">
        <f>T("96")</f>
        <v>96</v>
      </c>
      <c r="E143" t="str">
        <f>T("솜목화")</f>
        <v>솜목화</v>
      </c>
      <c r="H143" t="str">
        <f>T("블레슈")</f>
        <v>블레슈</v>
      </c>
      <c r="I143" t="str">
        <f>T("친절하기는 얼어 죽을")</f>
        <v>친절하기는 얼어 죽을</v>
      </c>
      <c r="J143">
        <v>100</v>
      </c>
      <c r="K143">
        <v>11700</v>
      </c>
      <c r="L143">
        <v>117</v>
      </c>
      <c r="M143">
        <v>0</v>
      </c>
      <c r="N143">
        <v>100</v>
      </c>
      <c r="O143">
        <v>1</v>
      </c>
      <c r="P143">
        <v>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-100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11800</v>
      </c>
      <c r="AH143">
        <v>152</v>
      </c>
      <c r="AI143">
        <v>-100</v>
      </c>
      <c r="AJ143">
        <v>1</v>
      </c>
      <c r="AK143">
        <v>11610</v>
      </c>
      <c r="AL143">
        <v>-100</v>
      </c>
      <c r="AM143">
        <v>228.41</v>
      </c>
      <c r="AN143">
        <v>-68.52</v>
      </c>
      <c r="AO143">
        <v>0</v>
      </c>
      <c r="AP143">
        <v>7001.93</v>
      </c>
      <c r="AR143" t="str">
        <f>T("0000000000000")</f>
        <v>0000000000000</v>
      </c>
      <c r="AT143" t="str">
        <f>T("9791137604131")</f>
        <v>9791137604131</v>
      </c>
      <c r="AV143" t="str">
        <f>T("로맨스 웹소설 &gt; 현대물")</f>
        <v>로맨스 웹소설 &gt; 현대물</v>
      </c>
    </row>
    <row r="144" spans="1:49" x14ac:dyDescent="0.4">
      <c r="A144">
        <v>2313017163</v>
      </c>
      <c r="B144">
        <v>2313018074</v>
      </c>
      <c r="C144" t="str">
        <f>T("친절하기는 얼어 죽을 외전 1화")</f>
        <v>친절하기는 얼어 죽을 외전 1화</v>
      </c>
      <c r="D144" t="str">
        <f>T("90")</f>
        <v>90</v>
      </c>
      <c r="E144" t="str">
        <f>T("솜목화")</f>
        <v>솜목화</v>
      </c>
      <c r="H144" t="str">
        <f>T("블레슈")</f>
        <v>블레슈</v>
      </c>
      <c r="I144" t="str">
        <f>T("친절하기는 얼어 죽을")</f>
        <v>친절하기는 얼어 죽을</v>
      </c>
      <c r="J144">
        <v>100</v>
      </c>
      <c r="K144">
        <v>11500</v>
      </c>
      <c r="L144">
        <v>115</v>
      </c>
      <c r="M144">
        <v>0</v>
      </c>
      <c r="N144">
        <v>0</v>
      </c>
      <c r="O144">
        <v>0</v>
      </c>
      <c r="P144">
        <v>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11500</v>
      </c>
      <c r="AH144">
        <v>133</v>
      </c>
      <c r="AI144">
        <v>0</v>
      </c>
      <c r="AJ144">
        <v>0</v>
      </c>
      <c r="AK144">
        <v>11300</v>
      </c>
      <c r="AL144">
        <v>0</v>
      </c>
      <c r="AM144">
        <v>240.41</v>
      </c>
      <c r="AN144">
        <v>-72.12</v>
      </c>
      <c r="AO144">
        <v>0</v>
      </c>
      <c r="AP144">
        <v>6880.97</v>
      </c>
      <c r="AR144" t="str">
        <f>T("0000000000000")</f>
        <v>0000000000000</v>
      </c>
      <c r="AT144" t="str">
        <f>T("9791137604131")</f>
        <v>9791137604131</v>
      </c>
      <c r="AV144" t="str">
        <f>T("로맨스 웹소설 &gt; 현대물")</f>
        <v>로맨스 웹소설 &gt; 현대물</v>
      </c>
    </row>
    <row r="145" spans="1:49" x14ac:dyDescent="0.4">
      <c r="A145">
        <v>2313017011</v>
      </c>
      <c r="B145">
        <v>2313017011</v>
      </c>
      <c r="C145" t="str">
        <f>T("[e북]친구의 고백 (외전증보판) 1권")</f>
        <v>[e북]친구의 고백 (외전증보판) 1권</v>
      </c>
      <c r="D145" t="str">
        <f>T("1")</f>
        <v>1</v>
      </c>
      <c r="E145" t="str">
        <f>T("빵양이")</f>
        <v>빵양이</v>
      </c>
      <c r="H145" t="str">
        <f>T("도서출판 태랑")</f>
        <v>도서출판 태랑</v>
      </c>
      <c r="I145" t="str">
        <f>T("[e북]친구의 고백 (외전증보판)")</f>
        <v>[e북]친구의 고백 (외전증보판)</v>
      </c>
      <c r="J145">
        <v>2800</v>
      </c>
      <c r="K145">
        <v>11200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11200</v>
      </c>
      <c r="AH145">
        <v>4</v>
      </c>
      <c r="AI145">
        <v>0</v>
      </c>
      <c r="AJ145">
        <v>0</v>
      </c>
      <c r="AK145">
        <v>11200</v>
      </c>
      <c r="AL145">
        <v>0</v>
      </c>
      <c r="AM145">
        <v>0</v>
      </c>
      <c r="AN145">
        <v>0</v>
      </c>
      <c r="AO145">
        <v>0</v>
      </c>
      <c r="AP145">
        <v>7840</v>
      </c>
      <c r="AT145" t="str">
        <f>T("9791164371594")</f>
        <v>9791164371594</v>
      </c>
      <c r="AV145" t="str">
        <f>T("로맨스 e북 &gt; 현대물")</f>
        <v>로맨스 e북 &gt; 현대물</v>
      </c>
      <c r="AW145" t="str">
        <f>T("로맨스 e북 &gt; 19+")</f>
        <v>로맨스 e북 &gt; 19+</v>
      </c>
    </row>
    <row r="146" spans="1:49" x14ac:dyDescent="0.4">
      <c r="A146">
        <v>2313011913</v>
      </c>
      <c r="B146">
        <v>2313011913</v>
      </c>
      <c r="C146" t="str">
        <f>T("[e북]아저씨, 내 기분 왜 이래요? 1권")</f>
        <v>[e북]아저씨, 내 기분 왜 이래요? 1권</v>
      </c>
      <c r="D146" t="str">
        <f>T("1")</f>
        <v>1</v>
      </c>
      <c r="E146" t="str">
        <f>T("Livingston")</f>
        <v>Livingston</v>
      </c>
      <c r="H146" t="str">
        <f>T("스토리위즈")</f>
        <v>스토리위즈</v>
      </c>
      <c r="I146" t="str">
        <f>T("[e북]아저씨, 내 기분 왜 이래요?")</f>
        <v>[e북]아저씨, 내 기분 왜 이래요?</v>
      </c>
      <c r="J146">
        <v>3000</v>
      </c>
      <c r="K146">
        <v>11100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11100</v>
      </c>
      <c r="AH146">
        <v>4</v>
      </c>
      <c r="AI146">
        <v>0</v>
      </c>
      <c r="AJ146">
        <v>0</v>
      </c>
      <c r="AK146">
        <v>11100</v>
      </c>
      <c r="AL146">
        <v>0</v>
      </c>
      <c r="AM146">
        <v>0</v>
      </c>
      <c r="AN146">
        <v>0</v>
      </c>
      <c r="AO146">
        <v>0</v>
      </c>
      <c r="AP146">
        <v>7770</v>
      </c>
      <c r="AT146" t="str">
        <f>T("9791137600805")</f>
        <v>9791137600805</v>
      </c>
      <c r="AV146" t="str">
        <f>T("로맨스 e북 &gt; 현대물")</f>
        <v>로맨스 e북 &gt; 현대물</v>
      </c>
    </row>
    <row r="147" spans="1:49" x14ac:dyDescent="0.4">
      <c r="A147">
        <v>2313011913</v>
      </c>
      <c r="B147">
        <v>2313011914</v>
      </c>
      <c r="C147" t="str">
        <f>T("[e북]아저씨, 내 기분 왜 이래요? 2권")</f>
        <v>[e북]아저씨, 내 기분 왜 이래요? 2권</v>
      </c>
      <c r="D147" t="str">
        <f>T("2")</f>
        <v>2</v>
      </c>
      <c r="E147" t="str">
        <f>T("Livingston")</f>
        <v>Livingston</v>
      </c>
      <c r="H147" t="str">
        <f>T("스토리위즈")</f>
        <v>스토리위즈</v>
      </c>
      <c r="I147" t="str">
        <f>T("[e북]아저씨, 내 기분 왜 이래요?")</f>
        <v>[e북]아저씨, 내 기분 왜 이래요?</v>
      </c>
      <c r="J147">
        <v>3000</v>
      </c>
      <c r="K147">
        <v>11100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11100</v>
      </c>
      <c r="AH147">
        <v>4</v>
      </c>
      <c r="AI147">
        <v>0</v>
      </c>
      <c r="AJ147">
        <v>0</v>
      </c>
      <c r="AK147">
        <v>11100</v>
      </c>
      <c r="AL147">
        <v>0</v>
      </c>
      <c r="AM147">
        <v>0</v>
      </c>
      <c r="AN147">
        <v>0</v>
      </c>
      <c r="AO147">
        <v>0</v>
      </c>
      <c r="AP147">
        <v>7770</v>
      </c>
      <c r="AT147" t="str">
        <f>T("9791137600812")</f>
        <v>9791137600812</v>
      </c>
      <c r="AV147" t="str">
        <f>T("로맨스 e북 &gt; 현대물")</f>
        <v>로맨스 e북 &gt; 현대물</v>
      </c>
    </row>
    <row r="148" spans="1:49" x14ac:dyDescent="0.4">
      <c r="A148">
        <v>2313011919</v>
      </c>
      <c r="B148">
        <v>2313011920</v>
      </c>
      <c r="C148" t="str">
        <f>T("[e북]임신부터 할까요? 2권 (완결)")</f>
        <v>[e북]임신부터 할까요? 2권 (완결)</v>
      </c>
      <c r="D148" t="str">
        <f>T("2")</f>
        <v>2</v>
      </c>
      <c r="E148" t="str">
        <f>T("온서")</f>
        <v>온서</v>
      </c>
      <c r="H148" t="str">
        <f>T("스토리위즈")</f>
        <v>스토리위즈</v>
      </c>
      <c r="I148" t="str">
        <f>T("[e북]임신부터 할까요?")</f>
        <v>[e북]임신부터 할까요?</v>
      </c>
      <c r="J148">
        <v>2400</v>
      </c>
      <c r="K148">
        <v>11040</v>
      </c>
      <c r="L148">
        <v>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11040</v>
      </c>
      <c r="AH148">
        <v>5</v>
      </c>
      <c r="AI148">
        <v>0</v>
      </c>
      <c r="AJ148">
        <v>0</v>
      </c>
      <c r="AK148">
        <v>11040</v>
      </c>
      <c r="AL148">
        <v>0</v>
      </c>
      <c r="AM148">
        <v>0</v>
      </c>
      <c r="AN148">
        <v>0</v>
      </c>
      <c r="AO148">
        <v>0</v>
      </c>
      <c r="AP148">
        <v>7728</v>
      </c>
      <c r="AT148" t="str">
        <f>T("9791137600430")</f>
        <v>9791137600430</v>
      </c>
      <c r="AV148" t="str">
        <f>T("로맨스 e북 &gt; 현대물")</f>
        <v>로맨스 e북 &gt; 현대물</v>
      </c>
    </row>
    <row r="149" spans="1:49" x14ac:dyDescent="0.4">
      <c r="A149">
        <v>2313017163</v>
      </c>
      <c r="B149">
        <v>2313018075</v>
      </c>
      <c r="C149" t="str">
        <f>T("친절하기는 얼어 죽을 외전 2화")</f>
        <v>친절하기는 얼어 죽을 외전 2화</v>
      </c>
      <c r="D149" t="str">
        <f>T("91")</f>
        <v>91</v>
      </c>
      <c r="E149" t="str">
        <f>T("솜목화")</f>
        <v>솜목화</v>
      </c>
      <c r="H149" t="str">
        <f>T("블레슈")</f>
        <v>블레슈</v>
      </c>
      <c r="I149" t="str">
        <f>T("친절하기는 얼어 죽을")</f>
        <v>친절하기는 얼어 죽을</v>
      </c>
      <c r="J149">
        <v>100</v>
      </c>
      <c r="K149">
        <v>10800</v>
      </c>
      <c r="L149">
        <v>108</v>
      </c>
      <c r="M149">
        <v>0</v>
      </c>
      <c r="N149">
        <v>0</v>
      </c>
      <c r="O149">
        <v>0</v>
      </c>
      <c r="P149">
        <v>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10800</v>
      </c>
      <c r="AH149">
        <v>116</v>
      </c>
      <c r="AI149">
        <v>0</v>
      </c>
      <c r="AJ149">
        <v>0</v>
      </c>
      <c r="AK149">
        <v>10710</v>
      </c>
      <c r="AL149">
        <v>0</v>
      </c>
      <c r="AM149">
        <v>108</v>
      </c>
      <c r="AN149">
        <v>-32.4</v>
      </c>
      <c r="AO149">
        <v>0</v>
      </c>
      <c r="AP149">
        <v>6471.36</v>
      </c>
      <c r="AR149" t="str">
        <f>T("0000000000000")</f>
        <v>0000000000000</v>
      </c>
      <c r="AT149" t="str">
        <f>T("9791137604131")</f>
        <v>9791137604131</v>
      </c>
      <c r="AV149" t="str">
        <f>T("로맨스 웹소설 &gt; 현대물")</f>
        <v>로맨스 웹소설 &gt; 현대물</v>
      </c>
    </row>
    <row r="150" spans="1:49" x14ac:dyDescent="0.4">
      <c r="A150">
        <v>2313017117</v>
      </c>
      <c r="B150">
        <v>2313017115</v>
      </c>
      <c r="C150" t="str">
        <f>T("[e북]봄나물 (Rookie) 3권")</f>
        <v>[e북]봄나물 (Rookie) 3권</v>
      </c>
      <c r="D150" t="str">
        <f>T("3")</f>
        <v>3</v>
      </c>
      <c r="E150" t="str">
        <f>T("발상")</f>
        <v>발상</v>
      </c>
      <c r="H150" t="str">
        <f>T("도서출판 태랑")</f>
        <v>도서출판 태랑</v>
      </c>
      <c r="I150" t="str">
        <f>T("[e북]봄나물(Rookie)")</f>
        <v>[e북]봄나물(Rookie)</v>
      </c>
      <c r="J150">
        <v>3500</v>
      </c>
      <c r="K150">
        <v>10500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10500</v>
      </c>
      <c r="AH150">
        <v>3</v>
      </c>
      <c r="AI150">
        <v>0</v>
      </c>
      <c r="AJ150">
        <v>0</v>
      </c>
      <c r="AK150">
        <v>10500</v>
      </c>
      <c r="AL150">
        <v>0</v>
      </c>
      <c r="AM150">
        <v>0</v>
      </c>
      <c r="AN150">
        <v>0</v>
      </c>
      <c r="AO150">
        <v>0</v>
      </c>
      <c r="AP150">
        <v>7350</v>
      </c>
      <c r="AT150" t="str">
        <f>T("9791189627522")</f>
        <v>9791189627522</v>
      </c>
      <c r="AV150" t="str">
        <f>T("BL 소설 e북 &gt; 현대물")</f>
        <v>BL 소설 e북 &gt; 현대물</v>
      </c>
    </row>
    <row r="151" spans="1:49" x14ac:dyDescent="0.4">
      <c r="A151">
        <v>2313017163</v>
      </c>
      <c r="B151">
        <v>2313018079</v>
      </c>
      <c r="C151" t="str">
        <f>T("친절하기는 얼어 죽을 외전 6화")</f>
        <v>친절하기는 얼어 죽을 외전 6화</v>
      </c>
      <c r="D151" t="str">
        <f>T("95")</f>
        <v>95</v>
      </c>
      <c r="E151" t="str">
        <f>T("솜목화")</f>
        <v>솜목화</v>
      </c>
      <c r="H151" t="str">
        <f>T("블레슈")</f>
        <v>블레슈</v>
      </c>
      <c r="I151" t="str">
        <f>T("친절하기는 얼어 죽을")</f>
        <v>친절하기는 얼어 죽을</v>
      </c>
      <c r="J151">
        <v>100</v>
      </c>
      <c r="K151">
        <v>10300</v>
      </c>
      <c r="L151">
        <v>103</v>
      </c>
      <c r="M151">
        <v>0</v>
      </c>
      <c r="N151">
        <v>100</v>
      </c>
      <c r="O151">
        <v>1</v>
      </c>
      <c r="P151">
        <v>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-100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10400</v>
      </c>
      <c r="AH151">
        <v>111</v>
      </c>
      <c r="AI151">
        <v>-100</v>
      </c>
      <c r="AJ151">
        <v>1</v>
      </c>
      <c r="AK151">
        <v>10210</v>
      </c>
      <c r="AL151">
        <v>-100</v>
      </c>
      <c r="AM151">
        <v>228</v>
      </c>
      <c r="AN151">
        <v>-68.400000000000006</v>
      </c>
      <c r="AO151">
        <v>0</v>
      </c>
      <c r="AP151">
        <v>6161.76</v>
      </c>
      <c r="AR151" t="str">
        <f>T("0000000000000")</f>
        <v>0000000000000</v>
      </c>
      <c r="AT151" t="str">
        <f>T("9791137604131")</f>
        <v>9791137604131</v>
      </c>
      <c r="AV151" t="str">
        <f>T("로맨스 웹소설 &gt; 현대물")</f>
        <v>로맨스 웹소설 &gt; 현대물</v>
      </c>
    </row>
    <row r="152" spans="1:49" x14ac:dyDescent="0.4">
      <c r="A152">
        <v>2313017163</v>
      </c>
      <c r="B152">
        <v>2313018076</v>
      </c>
      <c r="C152" t="str">
        <f>T("친절하기는 얼어 죽을 외전 3화")</f>
        <v>친절하기는 얼어 죽을 외전 3화</v>
      </c>
      <c r="D152" t="str">
        <f>T("92")</f>
        <v>92</v>
      </c>
      <c r="E152" t="str">
        <f>T("솜목화")</f>
        <v>솜목화</v>
      </c>
      <c r="H152" t="str">
        <f>T("블레슈")</f>
        <v>블레슈</v>
      </c>
      <c r="I152" t="str">
        <f>T("친절하기는 얼어 죽을")</f>
        <v>친절하기는 얼어 죽을</v>
      </c>
      <c r="J152">
        <v>100</v>
      </c>
      <c r="K152">
        <v>10000</v>
      </c>
      <c r="L152">
        <v>100</v>
      </c>
      <c r="M152">
        <v>0</v>
      </c>
      <c r="N152">
        <v>0</v>
      </c>
      <c r="O152">
        <v>0</v>
      </c>
      <c r="P152">
        <v>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10000</v>
      </c>
      <c r="AH152">
        <v>108</v>
      </c>
      <c r="AI152">
        <v>0</v>
      </c>
      <c r="AJ152">
        <v>0</v>
      </c>
      <c r="AK152">
        <v>9910</v>
      </c>
      <c r="AL152">
        <v>0</v>
      </c>
      <c r="AM152">
        <v>108</v>
      </c>
      <c r="AN152">
        <v>-32.4</v>
      </c>
      <c r="AO152">
        <v>0</v>
      </c>
      <c r="AP152">
        <v>5991.36</v>
      </c>
      <c r="AR152" t="str">
        <f>T("0000000000000")</f>
        <v>0000000000000</v>
      </c>
      <c r="AT152" t="str">
        <f>T("9791137604131")</f>
        <v>9791137604131</v>
      </c>
      <c r="AV152" t="str">
        <f>T("로맨스 웹소설 &gt; 현대물")</f>
        <v>로맨스 웹소설 &gt; 현대물</v>
      </c>
    </row>
    <row r="153" spans="1:49" x14ac:dyDescent="0.4">
      <c r="A153">
        <v>2313017163</v>
      </c>
      <c r="B153">
        <v>2313018078</v>
      </c>
      <c r="C153" t="str">
        <f>T("친절하기는 얼어 죽을 외전 5화")</f>
        <v>친절하기는 얼어 죽을 외전 5화</v>
      </c>
      <c r="D153" t="str">
        <f>T("94")</f>
        <v>94</v>
      </c>
      <c r="E153" t="str">
        <f>T("솜목화")</f>
        <v>솜목화</v>
      </c>
      <c r="H153" t="str">
        <f>T("블레슈")</f>
        <v>블레슈</v>
      </c>
      <c r="I153" t="str">
        <f>T("친절하기는 얼어 죽을")</f>
        <v>친절하기는 얼어 죽을</v>
      </c>
      <c r="J153">
        <v>100</v>
      </c>
      <c r="K153">
        <v>10000</v>
      </c>
      <c r="L153">
        <v>100</v>
      </c>
      <c r="M153">
        <v>0</v>
      </c>
      <c r="N153">
        <v>100</v>
      </c>
      <c r="O153">
        <v>1</v>
      </c>
      <c r="P153">
        <v>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-100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10100</v>
      </c>
      <c r="AH153">
        <v>106</v>
      </c>
      <c r="AI153">
        <v>-100</v>
      </c>
      <c r="AJ153">
        <v>1</v>
      </c>
      <c r="AK153">
        <v>9910</v>
      </c>
      <c r="AL153">
        <v>-100</v>
      </c>
      <c r="AM153">
        <v>228</v>
      </c>
      <c r="AN153">
        <v>-68.400000000000006</v>
      </c>
      <c r="AO153">
        <v>0</v>
      </c>
      <c r="AP153">
        <v>5981.76</v>
      </c>
      <c r="AR153" t="str">
        <f>T("0000000000000")</f>
        <v>0000000000000</v>
      </c>
      <c r="AT153" t="str">
        <f>T("9791137604131")</f>
        <v>9791137604131</v>
      </c>
      <c r="AV153" t="str">
        <f>T("로맨스 웹소설 &gt; 현대물")</f>
        <v>로맨스 웹소설 &gt; 현대물</v>
      </c>
    </row>
    <row r="154" spans="1:49" x14ac:dyDescent="0.4">
      <c r="A154">
        <v>2313007047</v>
      </c>
      <c r="B154">
        <v>2313007061</v>
      </c>
      <c r="C154" t="str">
        <f>T("[e북]삼국지 호접몽전 2부 1권")</f>
        <v>[e북]삼국지 호접몽전 2부 1권</v>
      </c>
      <c r="D154" t="str">
        <f>T("15")</f>
        <v>15</v>
      </c>
      <c r="E154" t="str">
        <f t="shared" ref="E154:E165" si="26">T("청빙")</f>
        <v>청빙</v>
      </c>
      <c r="H154" t="str">
        <f t="shared" ref="H154:H166" si="27">T("스토리위즈")</f>
        <v>스토리위즈</v>
      </c>
      <c r="I154" t="str">
        <f t="shared" ref="I154:I165" si="28">T("[e북]삼국지 호접몽전")</f>
        <v>[e북]삼국지 호접몽전</v>
      </c>
      <c r="J154">
        <v>3200</v>
      </c>
      <c r="K154">
        <v>9600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9600</v>
      </c>
      <c r="AH154">
        <v>3</v>
      </c>
      <c r="AI154">
        <v>0</v>
      </c>
      <c r="AJ154">
        <v>0</v>
      </c>
      <c r="AK154">
        <v>9600</v>
      </c>
      <c r="AL154">
        <v>0</v>
      </c>
      <c r="AM154">
        <v>0</v>
      </c>
      <c r="AN154">
        <v>0</v>
      </c>
      <c r="AO154">
        <v>0</v>
      </c>
      <c r="AP154">
        <v>6720</v>
      </c>
      <c r="AT154" t="str">
        <f>T("9791159289378")</f>
        <v>9791159289378</v>
      </c>
      <c r="AV154" t="str">
        <f t="shared" ref="AV154:AV166" si="29">T("판타지 e북 &gt; 퓨전 판타지")</f>
        <v>판타지 e북 &gt; 퓨전 판타지</v>
      </c>
    </row>
    <row r="155" spans="1:49" x14ac:dyDescent="0.4">
      <c r="A155">
        <v>2313007047</v>
      </c>
      <c r="B155">
        <v>2313007062</v>
      </c>
      <c r="C155" t="str">
        <f>T("[e북]삼국지 호접몽전 2부 2권")</f>
        <v>[e북]삼국지 호접몽전 2부 2권</v>
      </c>
      <c r="D155" t="str">
        <f>T("16")</f>
        <v>16</v>
      </c>
      <c r="E155" t="str">
        <f t="shared" si="26"/>
        <v>청빙</v>
      </c>
      <c r="H155" t="str">
        <f t="shared" si="27"/>
        <v>스토리위즈</v>
      </c>
      <c r="I155" t="str">
        <f t="shared" si="28"/>
        <v>[e북]삼국지 호접몽전</v>
      </c>
      <c r="J155">
        <v>3200</v>
      </c>
      <c r="K155">
        <v>9600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9600</v>
      </c>
      <c r="AH155">
        <v>3</v>
      </c>
      <c r="AI155">
        <v>0</v>
      </c>
      <c r="AJ155">
        <v>0</v>
      </c>
      <c r="AK155">
        <v>9600</v>
      </c>
      <c r="AL155">
        <v>0</v>
      </c>
      <c r="AM155">
        <v>0</v>
      </c>
      <c r="AN155">
        <v>0</v>
      </c>
      <c r="AO155">
        <v>0</v>
      </c>
      <c r="AP155">
        <v>6720</v>
      </c>
      <c r="AT155" t="str">
        <f>T("9791159289385")</f>
        <v>9791159289385</v>
      </c>
      <c r="AV155" t="str">
        <f t="shared" si="29"/>
        <v>판타지 e북 &gt; 퓨전 판타지</v>
      </c>
    </row>
    <row r="156" spans="1:49" x14ac:dyDescent="0.4">
      <c r="A156">
        <v>2313007047</v>
      </c>
      <c r="B156">
        <v>2313007063</v>
      </c>
      <c r="C156" t="str">
        <f>T("[e북]삼국지 호접몽전 2부 3권")</f>
        <v>[e북]삼국지 호접몽전 2부 3권</v>
      </c>
      <c r="D156" t="str">
        <f>T("17")</f>
        <v>17</v>
      </c>
      <c r="E156" t="str">
        <f t="shared" si="26"/>
        <v>청빙</v>
      </c>
      <c r="H156" t="str">
        <f t="shared" si="27"/>
        <v>스토리위즈</v>
      </c>
      <c r="I156" t="str">
        <f t="shared" si="28"/>
        <v>[e북]삼국지 호접몽전</v>
      </c>
      <c r="J156">
        <v>3200</v>
      </c>
      <c r="K156">
        <v>9600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9600</v>
      </c>
      <c r="AH156">
        <v>3</v>
      </c>
      <c r="AI156">
        <v>0</v>
      </c>
      <c r="AJ156">
        <v>0</v>
      </c>
      <c r="AK156">
        <v>9600</v>
      </c>
      <c r="AL156">
        <v>0</v>
      </c>
      <c r="AM156">
        <v>0</v>
      </c>
      <c r="AN156">
        <v>0</v>
      </c>
      <c r="AO156">
        <v>0</v>
      </c>
      <c r="AP156">
        <v>6720</v>
      </c>
      <c r="AT156" t="str">
        <f>T("9791159289392")</f>
        <v>9791159289392</v>
      </c>
      <c r="AV156" t="str">
        <f t="shared" si="29"/>
        <v>판타지 e북 &gt; 퓨전 판타지</v>
      </c>
    </row>
    <row r="157" spans="1:49" x14ac:dyDescent="0.4">
      <c r="A157">
        <v>2313007047</v>
      </c>
      <c r="B157">
        <v>2313007064</v>
      </c>
      <c r="C157" t="str">
        <f>T("[e북]삼국지 호접몽전 2부 4권")</f>
        <v>[e북]삼국지 호접몽전 2부 4권</v>
      </c>
      <c r="D157" t="str">
        <f>T("18")</f>
        <v>18</v>
      </c>
      <c r="E157" t="str">
        <f t="shared" si="26"/>
        <v>청빙</v>
      </c>
      <c r="H157" t="str">
        <f t="shared" si="27"/>
        <v>스토리위즈</v>
      </c>
      <c r="I157" t="str">
        <f t="shared" si="28"/>
        <v>[e북]삼국지 호접몽전</v>
      </c>
      <c r="J157">
        <v>3200</v>
      </c>
      <c r="K157">
        <v>9600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9600</v>
      </c>
      <c r="AH157">
        <v>3</v>
      </c>
      <c r="AI157">
        <v>0</v>
      </c>
      <c r="AJ157">
        <v>0</v>
      </c>
      <c r="AK157">
        <v>9600</v>
      </c>
      <c r="AL157">
        <v>0</v>
      </c>
      <c r="AM157">
        <v>0</v>
      </c>
      <c r="AN157">
        <v>0</v>
      </c>
      <c r="AO157">
        <v>0</v>
      </c>
      <c r="AP157">
        <v>6720</v>
      </c>
      <c r="AT157" t="str">
        <f>T("9791159289408")</f>
        <v>9791159289408</v>
      </c>
      <c r="AV157" t="str">
        <f t="shared" si="29"/>
        <v>판타지 e북 &gt; 퓨전 판타지</v>
      </c>
    </row>
    <row r="158" spans="1:49" x14ac:dyDescent="0.4">
      <c r="A158">
        <v>2313007047</v>
      </c>
      <c r="B158">
        <v>2313007065</v>
      </c>
      <c r="C158" t="str">
        <f>T("[e북]삼국지 호접몽전 2부 5권")</f>
        <v>[e북]삼국지 호접몽전 2부 5권</v>
      </c>
      <c r="D158" t="str">
        <f>T("19")</f>
        <v>19</v>
      </c>
      <c r="E158" t="str">
        <f t="shared" si="26"/>
        <v>청빙</v>
      </c>
      <c r="H158" t="str">
        <f t="shared" si="27"/>
        <v>스토리위즈</v>
      </c>
      <c r="I158" t="str">
        <f t="shared" si="28"/>
        <v>[e북]삼국지 호접몽전</v>
      </c>
      <c r="J158">
        <v>3200</v>
      </c>
      <c r="K158">
        <v>9600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9600</v>
      </c>
      <c r="AH158">
        <v>3</v>
      </c>
      <c r="AI158">
        <v>0</v>
      </c>
      <c r="AJ158">
        <v>0</v>
      </c>
      <c r="AK158">
        <v>9600</v>
      </c>
      <c r="AL158">
        <v>0</v>
      </c>
      <c r="AM158">
        <v>0</v>
      </c>
      <c r="AN158">
        <v>0</v>
      </c>
      <c r="AO158">
        <v>0</v>
      </c>
      <c r="AP158">
        <v>6720</v>
      </c>
      <c r="AT158" t="str">
        <f>T("9791159289415")</f>
        <v>9791159289415</v>
      </c>
      <c r="AV158" t="str">
        <f t="shared" si="29"/>
        <v>판타지 e북 &gt; 퓨전 판타지</v>
      </c>
    </row>
    <row r="159" spans="1:49" x14ac:dyDescent="0.4">
      <c r="A159">
        <v>2313007047</v>
      </c>
      <c r="B159">
        <v>2313007066</v>
      </c>
      <c r="C159" t="str">
        <f>T("[e북]삼국지 호접몽전 2부 6권")</f>
        <v>[e북]삼국지 호접몽전 2부 6권</v>
      </c>
      <c r="D159" t="str">
        <f>T("20")</f>
        <v>20</v>
      </c>
      <c r="E159" t="str">
        <f t="shared" si="26"/>
        <v>청빙</v>
      </c>
      <c r="H159" t="str">
        <f t="shared" si="27"/>
        <v>스토리위즈</v>
      </c>
      <c r="I159" t="str">
        <f t="shared" si="28"/>
        <v>[e북]삼국지 호접몽전</v>
      </c>
      <c r="J159">
        <v>3200</v>
      </c>
      <c r="K159">
        <v>9600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9600</v>
      </c>
      <c r="AH159">
        <v>3</v>
      </c>
      <c r="AI159">
        <v>0</v>
      </c>
      <c r="AJ159">
        <v>0</v>
      </c>
      <c r="AK159">
        <v>9600</v>
      </c>
      <c r="AL159">
        <v>0</v>
      </c>
      <c r="AM159">
        <v>0</v>
      </c>
      <c r="AN159">
        <v>0</v>
      </c>
      <c r="AO159">
        <v>0</v>
      </c>
      <c r="AP159">
        <v>6720</v>
      </c>
      <c r="AT159" t="str">
        <f>T("9791159289422")</f>
        <v>9791159289422</v>
      </c>
      <c r="AV159" t="str">
        <f t="shared" si="29"/>
        <v>판타지 e북 &gt; 퓨전 판타지</v>
      </c>
    </row>
    <row r="160" spans="1:49" x14ac:dyDescent="0.4">
      <c r="A160">
        <v>2313007047</v>
      </c>
      <c r="B160">
        <v>2313007067</v>
      </c>
      <c r="C160" t="str">
        <f>T("[e북]삼국지 호접몽전 2부 7권")</f>
        <v>[e북]삼국지 호접몽전 2부 7권</v>
      </c>
      <c r="D160" t="str">
        <f>T("21")</f>
        <v>21</v>
      </c>
      <c r="E160" t="str">
        <f t="shared" si="26"/>
        <v>청빙</v>
      </c>
      <c r="H160" t="str">
        <f t="shared" si="27"/>
        <v>스토리위즈</v>
      </c>
      <c r="I160" t="str">
        <f t="shared" si="28"/>
        <v>[e북]삼국지 호접몽전</v>
      </c>
      <c r="J160">
        <v>3200</v>
      </c>
      <c r="K160">
        <v>9600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9600</v>
      </c>
      <c r="AH160">
        <v>3</v>
      </c>
      <c r="AI160">
        <v>0</v>
      </c>
      <c r="AJ160">
        <v>0</v>
      </c>
      <c r="AK160">
        <v>9600</v>
      </c>
      <c r="AL160">
        <v>0</v>
      </c>
      <c r="AM160">
        <v>0</v>
      </c>
      <c r="AN160">
        <v>0</v>
      </c>
      <c r="AO160">
        <v>0</v>
      </c>
      <c r="AP160">
        <v>6720</v>
      </c>
      <c r="AT160" t="str">
        <f>T("9791159289439")</f>
        <v>9791159289439</v>
      </c>
      <c r="AV160" t="str">
        <f t="shared" si="29"/>
        <v>판타지 e북 &gt; 퓨전 판타지</v>
      </c>
    </row>
    <row r="161" spans="1:48" x14ac:dyDescent="0.4">
      <c r="A161">
        <v>2313007047</v>
      </c>
      <c r="B161">
        <v>2313007069</v>
      </c>
      <c r="C161" t="str">
        <f>T("[e북]삼국지 호접몽전 2부 9권")</f>
        <v>[e북]삼국지 호접몽전 2부 9권</v>
      </c>
      <c r="D161" t="str">
        <f>T("23")</f>
        <v>23</v>
      </c>
      <c r="E161" t="str">
        <f t="shared" si="26"/>
        <v>청빙</v>
      </c>
      <c r="H161" t="str">
        <f t="shared" si="27"/>
        <v>스토리위즈</v>
      </c>
      <c r="I161" t="str">
        <f t="shared" si="28"/>
        <v>[e북]삼국지 호접몽전</v>
      </c>
      <c r="J161">
        <v>3200</v>
      </c>
      <c r="K161">
        <v>9600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9600</v>
      </c>
      <c r="AH161">
        <v>3</v>
      </c>
      <c r="AI161">
        <v>0</v>
      </c>
      <c r="AJ161">
        <v>0</v>
      </c>
      <c r="AK161">
        <v>9600</v>
      </c>
      <c r="AL161">
        <v>0</v>
      </c>
      <c r="AM161">
        <v>0</v>
      </c>
      <c r="AN161">
        <v>0</v>
      </c>
      <c r="AO161">
        <v>0</v>
      </c>
      <c r="AP161">
        <v>6720</v>
      </c>
      <c r="AT161" t="str">
        <f>T("9791159289453")</f>
        <v>9791159289453</v>
      </c>
      <c r="AV161" t="str">
        <f t="shared" si="29"/>
        <v>판타지 e북 &gt; 퓨전 판타지</v>
      </c>
    </row>
    <row r="162" spans="1:48" x14ac:dyDescent="0.4">
      <c r="A162">
        <v>2313007047</v>
      </c>
      <c r="B162">
        <v>2313007070</v>
      </c>
      <c r="C162" t="str">
        <f>T("[e북]삼국지 호접몽전 2부 10권")</f>
        <v>[e북]삼국지 호접몽전 2부 10권</v>
      </c>
      <c r="D162" t="str">
        <f>T("24")</f>
        <v>24</v>
      </c>
      <c r="E162" t="str">
        <f t="shared" si="26"/>
        <v>청빙</v>
      </c>
      <c r="H162" t="str">
        <f t="shared" si="27"/>
        <v>스토리위즈</v>
      </c>
      <c r="I162" t="str">
        <f t="shared" si="28"/>
        <v>[e북]삼국지 호접몽전</v>
      </c>
      <c r="J162">
        <v>3200</v>
      </c>
      <c r="K162">
        <v>9600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9600</v>
      </c>
      <c r="AH162">
        <v>3</v>
      </c>
      <c r="AI162">
        <v>0</v>
      </c>
      <c r="AJ162">
        <v>0</v>
      </c>
      <c r="AK162">
        <v>9600</v>
      </c>
      <c r="AL162">
        <v>0</v>
      </c>
      <c r="AM162">
        <v>0</v>
      </c>
      <c r="AN162">
        <v>0</v>
      </c>
      <c r="AO162">
        <v>0</v>
      </c>
      <c r="AP162">
        <v>6720</v>
      </c>
      <c r="AT162" t="str">
        <f>T("9791159289460")</f>
        <v>9791159289460</v>
      </c>
      <c r="AV162" t="str">
        <f t="shared" si="29"/>
        <v>판타지 e북 &gt; 퓨전 판타지</v>
      </c>
    </row>
    <row r="163" spans="1:48" x14ac:dyDescent="0.4">
      <c r="A163">
        <v>2313007047</v>
      </c>
      <c r="B163">
        <v>2313007071</v>
      </c>
      <c r="C163" t="str">
        <f>T("[e북]삼국지 호접몽전 3부 1권")</f>
        <v>[e북]삼국지 호접몽전 3부 1권</v>
      </c>
      <c r="D163" t="str">
        <f>T("25")</f>
        <v>25</v>
      </c>
      <c r="E163" t="str">
        <f t="shared" si="26"/>
        <v>청빙</v>
      </c>
      <c r="H163" t="str">
        <f t="shared" si="27"/>
        <v>스토리위즈</v>
      </c>
      <c r="I163" t="str">
        <f t="shared" si="28"/>
        <v>[e북]삼국지 호접몽전</v>
      </c>
      <c r="J163">
        <v>3200</v>
      </c>
      <c r="K163">
        <v>9600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9600</v>
      </c>
      <c r="AH163">
        <v>3</v>
      </c>
      <c r="AI163">
        <v>0</v>
      </c>
      <c r="AJ163">
        <v>0</v>
      </c>
      <c r="AK163">
        <v>9600</v>
      </c>
      <c r="AL163">
        <v>0</v>
      </c>
      <c r="AM163">
        <v>0</v>
      </c>
      <c r="AN163">
        <v>0</v>
      </c>
      <c r="AO163">
        <v>0</v>
      </c>
      <c r="AP163">
        <v>6720</v>
      </c>
      <c r="AT163" t="str">
        <f>T("9791159289477")</f>
        <v>9791159289477</v>
      </c>
      <c r="AV163" t="str">
        <f t="shared" si="29"/>
        <v>판타지 e북 &gt; 퓨전 판타지</v>
      </c>
    </row>
    <row r="164" spans="1:48" x14ac:dyDescent="0.4">
      <c r="A164">
        <v>2313007047</v>
      </c>
      <c r="B164">
        <v>2313007074</v>
      </c>
      <c r="C164" t="str">
        <f>T("[e북]삼국지 호접몽전 3부 4권")</f>
        <v>[e북]삼국지 호접몽전 3부 4권</v>
      </c>
      <c r="D164" t="str">
        <f>T("28")</f>
        <v>28</v>
      </c>
      <c r="E164" t="str">
        <f t="shared" si="26"/>
        <v>청빙</v>
      </c>
      <c r="H164" t="str">
        <f t="shared" si="27"/>
        <v>스토리위즈</v>
      </c>
      <c r="I164" t="str">
        <f t="shared" si="28"/>
        <v>[e북]삼국지 호접몽전</v>
      </c>
      <c r="J164">
        <v>3200</v>
      </c>
      <c r="K164">
        <v>9600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9600</v>
      </c>
      <c r="AH164">
        <v>3</v>
      </c>
      <c r="AI164">
        <v>0</v>
      </c>
      <c r="AJ164">
        <v>0</v>
      </c>
      <c r="AK164">
        <v>9600</v>
      </c>
      <c r="AL164">
        <v>0</v>
      </c>
      <c r="AM164">
        <v>0</v>
      </c>
      <c r="AN164">
        <v>0</v>
      </c>
      <c r="AO164">
        <v>0</v>
      </c>
      <c r="AP164">
        <v>6720</v>
      </c>
      <c r="AT164" t="str">
        <f>T("9791159289507")</f>
        <v>9791159289507</v>
      </c>
      <c r="AV164" t="str">
        <f t="shared" si="29"/>
        <v>판타지 e북 &gt; 퓨전 판타지</v>
      </c>
    </row>
    <row r="165" spans="1:48" x14ac:dyDescent="0.4">
      <c r="A165">
        <v>2313007047</v>
      </c>
      <c r="B165">
        <v>2313007075</v>
      </c>
      <c r="C165" t="str">
        <f>T("[e북]삼국지 호접몽전 3부 5권")</f>
        <v>[e북]삼국지 호접몽전 3부 5권</v>
      </c>
      <c r="D165" t="str">
        <f>T("29")</f>
        <v>29</v>
      </c>
      <c r="E165" t="str">
        <f t="shared" si="26"/>
        <v>청빙</v>
      </c>
      <c r="H165" t="str">
        <f t="shared" si="27"/>
        <v>스토리위즈</v>
      </c>
      <c r="I165" t="str">
        <f t="shared" si="28"/>
        <v>[e북]삼국지 호접몽전</v>
      </c>
      <c r="J165">
        <v>3200</v>
      </c>
      <c r="K165">
        <v>9600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9600</v>
      </c>
      <c r="AH165">
        <v>3</v>
      </c>
      <c r="AI165">
        <v>0</v>
      </c>
      <c r="AJ165">
        <v>0</v>
      </c>
      <c r="AK165">
        <v>9600</v>
      </c>
      <c r="AL165">
        <v>0</v>
      </c>
      <c r="AM165">
        <v>0</v>
      </c>
      <c r="AN165">
        <v>0</v>
      </c>
      <c r="AO165">
        <v>0</v>
      </c>
      <c r="AP165">
        <v>6720</v>
      </c>
      <c r="AT165" t="str">
        <f>T("9791159289514")</f>
        <v>9791159289514</v>
      </c>
      <c r="AV165" t="str">
        <f t="shared" si="29"/>
        <v>판타지 e북 &gt; 퓨전 판타지</v>
      </c>
    </row>
    <row r="166" spans="1:48" x14ac:dyDescent="0.4">
      <c r="A166">
        <v>2313008398</v>
      </c>
      <c r="B166">
        <v>2313008399</v>
      </c>
      <c r="C166" t="str">
        <f>T("[e북]기사가문 망나니는 10클래스 2권")</f>
        <v>[e북]기사가문 망나니는 10클래스 2권</v>
      </c>
      <c r="D166" t="str">
        <f>T("2")</f>
        <v>2</v>
      </c>
      <c r="E166" t="str">
        <f>T("예로나")</f>
        <v>예로나</v>
      </c>
      <c r="H166" t="str">
        <f t="shared" si="27"/>
        <v>스토리위즈</v>
      </c>
      <c r="I166" t="str">
        <f>T("[e북]기사가문 망나니는 10클래스")</f>
        <v>[e북]기사가문 망나니는 10클래스</v>
      </c>
      <c r="J166">
        <v>3200</v>
      </c>
      <c r="K166">
        <v>9600</v>
      </c>
      <c r="L166">
        <v>3</v>
      </c>
      <c r="M166">
        <v>0</v>
      </c>
      <c r="N166">
        <v>70470</v>
      </c>
      <c r="O166">
        <v>90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80070</v>
      </c>
      <c r="AH166">
        <v>93</v>
      </c>
      <c r="AI166">
        <v>0</v>
      </c>
      <c r="AJ166">
        <v>0</v>
      </c>
      <c r="AK166">
        <v>79503</v>
      </c>
      <c r="AL166">
        <v>0</v>
      </c>
      <c r="AM166">
        <v>680.4</v>
      </c>
      <c r="AN166">
        <v>-204.12</v>
      </c>
      <c r="AO166">
        <v>0</v>
      </c>
      <c r="AP166">
        <v>55985.5</v>
      </c>
      <c r="AR166" t="str">
        <f>T("0000000000000")</f>
        <v>0000000000000</v>
      </c>
      <c r="AT166" t="str">
        <f>T("9791165311629")</f>
        <v>9791165311629</v>
      </c>
      <c r="AV166" t="str">
        <f t="shared" si="29"/>
        <v>판타지 e북 &gt; 퓨전 판타지</v>
      </c>
    </row>
    <row r="167" spans="1:48" x14ac:dyDescent="0.4">
      <c r="A167">
        <v>2313017150</v>
      </c>
      <c r="B167">
        <v>2313017149</v>
      </c>
      <c r="C167" t="str">
        <f>T("[e북]짝사랑 이별곡 2권 (완결)")</f>
        <v>[e북]짝사랑 이별곡 2권 (완결)</v>
      </c>
      <c r="D167" t="str">
        <f>T("2")</f>
        <v>2</v>
      </c>
      <c r="E167" t="str">
        <f>T("모리미")</f>
        <v>모리미</v>
      </c>
      <c r="H167" t="str">
        <f>T("도서출판 태랑")</f>
        <v>도서출판 태랑</v>
      </c>
      <c r="I167" t="str">
        <f>T("[e북]짝사랑 이별곡")</f>
        <v>[e북]짝사랑 이별곡</v>
      </c>
      <c r="J167">
        <v>2400</v>
      </c>
      <c r="K167">
        <v>9600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9600</v>
      </c>
      <c r="AH167">
        <v>4</v>
      </c>
      <c r="AI167">
        <v>0</v>
      </c>
      <c r="AJ167">
        <v>0</v>
      </c>
      <c r="AK167">
        <v>9600</v>
      </c>
      <c r="AL167">
        <v>0</v>
      </c>
      <c r="AM167">
        <v>0</v>
      </c>
      <c r="AN167">
        <v>0</v>
      </c>
      <c r="AO167">
        <v>0</v>
      </c>
      <c r="AP167">
        <v>6720</v>
      </c>
      <c r="AT167" t="str">
        <f>T("9791189084387")</f>
        <v>9791189084387</v>
      </c>
      <c r="AV167" t="str">
        <f>T("BL 소설 e북 &gt; 현대물")</f>
        <v>BL 소설 e북 &gt; 현대물</v>
      </c>
    </row>
    <row r="168" spans="1:48" x14ac:dyDescent="0.4">
      <c r="A168">
        <v>2313017163</v>
      </c>
      <c r="B168">
        <v>2313017169</v>
      </c>
      <c r="C168" t="str">
        <f>T("친절하기는 얼어 죽을 6화")</f>
        <v>친절하기는 얼어 죽을 6화</v>
      </c>
      <c r="D168" t="str">
        <f>T("7")</f>
        <v>7</v>
      </c>
      <c r="E168" t="str">
        <f>T("솜목화")</f>
        <v>솜목화</v>
      </c>
      <c r="H168" t="str">
        <f>T("블레슈")</f>
        <v>블레슈</v>
      </c>
      <c r="I168" t="str">
        <f>T("친절하기는 얼어 죽을")</f>
        <v>친절하기는 얼어 죽을</v>
      </c>
      <c r="J168">
        <v>100</v>
      </c>
      <c r="K168">
        <v>9600</v>
      </c>
      <c r="L168">
        <v>96</v>
      </c>
      <c r="M168">
        <v>0</v>
      </c>
      <c r="N168">
        <v>800</v>
      </c>
      <c r="O168">
        <v>8</v>
      </c>
      <c r="P168">
        <v>1850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10400</v>
      </c>
      <c r="AH168">
        <v>1954</v>
      </c>
      <c r="AI168">
        <v>0</v>
      </c>
      <c r="AJ168">
        <v>0</v>
      </c>
      <c r="AK168">
        <v>10300</v>
      </c>
      <c r="AL168">
        <v>0</v>
      </c>
      <c r="AM168">
        <v>120</v>
      </c>
      <c r="AN168">
        <v>-36</v>
      </c>
      <c r="AO168">
        <v>0</v>
      </c>
      <c r="AP168">
        <v>6230.4</v>
      </c>
      <c r="AR168" t="str">
        <f t="shared" ref="AR168:AR176" si="30">T("0000000000000")</f>
        <v>0000000000000</v>
      </c>
      <c r="AT168" t="str">
        <f>T("9791137604131")</f>
        <v>9791137604131</v>
      </c>
      <c r="AV168" t="str">
        <f>T("로맨스 웹소설 &gt; 현대물")</f>
        <v>로맨스 웹소설 &gt; 현대물</v>
      </c>
    </row>
    <row r="169" spans="1:48" x14ac:dyDescent="0.4">
      <c r="A169">
        <v>2313017163</v>
      </c>
      <c r="B169">
        <v>2313018077</v>
      </c>
      <c r="C169" t="str">
        <f>T("친절하기는 얼어 죽을 외전 4화")</f>
        <v>친절하기는 얼어 죽을 외전 4화</v>
      </c>
      <c r="D169" t="str">
        <f>T("93")</f>
        <v>93</v>
      </c>
      <c r="E169" t="str">
        <f>T("솜목화")</f>
        <v>솜목화</v>
      </c>
      <c r="H169" t="str">
        <f>T("블레슈")</f>
        <v>블레슈</v>
      </c>
      <c r="I169" t="str">
        <f>T("친절하기는 얼어 죽을")</f>
        <v>친절하기는 얼어 죽을</v>
      </c>
      <c r="J169">
        <v>100</v>
      </c>
      <c r="K169">
        <v>9600</v>
      </c>
      <c r="L169">
        <v>96</v>
      </c>
      <c r="M169">
        <v>0</v>
      </c>
      <c r="N169">
        <v>100</v>
      </c>
      <c r="O169">
        <v>1</v>
      </c>
      <c r="P169">
        <v>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-100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9700</v>
      </c>
      <c r="AH169">
        <v>102</v>
      </c>
      <c r="AI169">
        <v>-100</v>
      </c>
      <c r="AJ169">
        <v>1</v>
      </c>
      <c r="AK169">
        <v>9610</v>
      </c>
      <c r="AL169">
        <v>-100</v>
      </c>
      <c r="AM169">
        <v>108</v>
      </c>
      <c r="AN169">
        <v>-32.4</v>
      </c>
      <c r="AO169">
        <v>0</v>
      </c>
      <c r="AP169">
        <v>5751.36</v>
      </c>
      <c r="AR169" t="str">
        <f t="shared" si="30"/>
        <v>0000000000000</v>
      </c>
      <c r="AT169" t="str">
        <f>T("9791137604131")</f>
        <v>9791137604131</v>
      </c>
      <c r="AV169" t="str">
        <f>T("로맨스 웹소설 &gt; 현대물")</f>
        <v>로맨스 웹소설 &gt; 현대물</v>
      </c>
    </row>
    <row r="170" spans="1:48" x14ac:dyDescent="0.4">
      <c r="A170">
        <v>2313018081</v>
      </c>
      <c r="B170">
        <v>2313018082</v>
      </c>
      <c r="C170" t="str">
        <f>T("[e북]헌터인데 내공이 좀 많네요 2권")</f>
        <v>[e북]헌터인데 내공이 좀 많네요 2권</v>
      </c>
      <c r="D170" t="str">
        <f>T("2")</f>
        <v>2</v>
      </c>
      <c r="E170" t="str">
        <f>T("돈문어")</f>
        <v>돈문어</v>
      </c>
      <c r="H170" t="str">
        <f>T("스토리위즈")</f>
        <v>스토리위즈</v>
      </c>
      <c r="I170" t="str">
        <f>T("[e북]헌터인데 내공이 좀 많네요")</f>
        <v>[e북]헌터인데 내공이 좀 많네요</v>
      </c>
      <c r="J170">
        <v>3200</v>
      </c>
      <c r="K170">
        <v>9600</v>
      </c>
      <c r="L170">
        <v>3</v>
      </c>
      <c r="M170">
        <v>0</v>
      </c>
      <c r="N170">
        <v>0</v>
      </c>
      <c r="O170">
        <v>0</v>
      </c>
      <c r="P170">
        <v>279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9600</v>
      </c>
      <c r="AH170">
        <v>282</v>
      </c>
      <c r="AI170">
        <v>0</v>
      </c>
      <c r="AJ170">
        <v>0</v>
      </c>
      <c r="AK170">
        <v>9600</v>
      </c>
      <c r="AL170">
        <v>0</v>
      </c>
      <c r="AM170">
        <v>0</v>
      </c>
      <c r="AN170">
        <v>0</v>
      </c>
      <c r="AO170">
        <v>0</v>
      </c>
      <c r="AP170">
        <v>6720</v>
      </c>
      <c r="AR170" t="str">
        <f t="shared" si="30"/>
        <v>0000000000000</v>
      </c>
      <c r="AT170" t="str">
        <f>T("9791137604391")</f>
        <v>9791137604391</v>
      </c>
      <c r="AV170" t="str">
        <f>T("판타지 e북 &gt; 퓨전 판타지")</f>
        <v>판타지 e북 &gt; 퓨전 판타지</v>
      </c>
    </row>
    <row r="171" spans="1:48" x14ac:dyDescent="0.4">
      <c r="A171">
        <v>2313018081</v>
      </c>
      <c r="B171">
        <v>2313018084</v>
      </c>
      <c r="C171" t="str">
        <f>T("[e북]헌터인데 내공이 좀 많네요 4권")</f>
        <v>[e북]헌터인데 내공이 좀 많네요 4권</v>
      </c>
      <c r="D171" t="str">
        <f>T("4")</f>
        <v>4</v>
      </c>
      <c r="E171" t="str">
        <f>T("돈문어")</f>
        <v>돈문어</v>
      </c>
      <c r="H171" t="str">
        <f>T("스토리위즈")</f>
        <v>스토리위즈</v>
      </c>
      <c r="I171" t="str">
        <f>T("[e북]헌터인데 내공이 좀 많네요")</f>
        <v>[e북]헌터인데 내공이 좀 많네요</v>
      </c>
      <c r="J171">
        <v>3200</v>
      </c>
      <c r="K171">
        <v>9600</v>
      </c>
      <c r="L171">
        <v>3</v>
      </c>
      <c r="M171">
        <v>0</v>
      </c>
      <c r="N171">
        <v>13500</v>
      </c>
      <c r="O171">
        <v>15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23100</v>
      </c>
      <c r="AH171">
        <v>18</v>
      </c>
      <c r="AI171">
        <v>0</v>
      </c>
      <c r="AJ171">
        <v>0</v>
      </c>
      <c r="AK171">
        <v>23100</v>
      </c>
      <c r="AL171">
        <v>0</v>
      </c>
      <c r="AM171">
        <v>0</v>
      </c>
      <c r="AN171">
        <v>0</v>
      </c>
      <c r="AO171">
        <v>0</v>
      </c>
      <c r="AP171">
        <v>16170</v>
      </c>
      <c r="AR171" t="str">
        <f t="shared" si="30"/>
        <v>0000000000000</v>
      </c>
      <c r="AT171" t="str">
        <f>T("9791137604391")</f>
        <v>9791137604391</v>
      </c>
      <c r="AV171" t="str">
        <f>T("판타지 e북 &gt; 퓨전 판타지")</f>
        <v>판타지 e북 &gt; 퓨전 판타지</v>
      </c>
    </row>
    <row r="172" spans="1:48" x14ac:dyDescent="0.4">
      <c r="A172">
        <v>2313017163</v>
      </c>
      <c r="B172">
        <v>2313017170</v>
      </c>
      <c r="C172" t="str">
        <f>T("친절하기는 얼어 죽을 7화")</f>
        <v>친절하기는 얼어 죽을 7화</v>
      </c>
      <c r="D172" t="str">
        <f>T("8")</f>
        <v>8</v>
      </c>
      <c r="E172" t="str">
        <f>T("솜목화")</f>
        <v>솜목화</v>
      </c>
      <c r="H172" t="str">
        <f>T("블레슈")</f>
        <v>블레슈</v>
      </c>
      <c r="I172" t="str">
        <f>T("친절하기는 얼어 죽을")</f>
        <v>친절하기는 얼어 죽을</v>
      </c>
      <c r="J172">
        <v>100</v>
      </c>
      <c r="K172">
        <v>9500</v>
      </c>
      <c r="L172">
        <v>95</v>
      </c>
      <c r="M172">
        <v>0</v>
      </c>
      <c r="N172">
        <v>800</v>
      </c>
      <c r="O172">
        <v>8</v>
      </c>
      <c r="P172">
        <v>1863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10300</v>
      </c>
      <c r="AH172">
        <v>1966</v>
      </c>
      <c r="AI172">
        <v>0</v>
      </c>
      <c r="AJ172">
        <v>0</v>
      </c>
      <c r="AK172">
        <v>10200</v>
      </c>
      <c r="AL172">
        <v>0</v>
      </c>
      <c r="AM172">
        <v>120</v>
      </c>
      <c r="AN172">
        <v>-36</v>
      </c>
      <c r="AO172">
        <v>0</v>
      </c>
      <c r="AP172">
        <v>6170.4</v>
      </c>
      <c r="AR172" t="str">
        <f t="shared" si="30"/>
        <v>0000000000000</v>
      </c>
      <c r="AT172" t="str">
        <f>T("9791137604131")</f>
        <v>9791137604131</v>
      </c>
      <c r="AV172" t="str">
        <f>T("로맨스 웹소설 &gt; 현대물")</f>
        <v>로맨스 웹소설 &gt; 현대물</v>
      </c>
    </row>
    <row r="173" spans="1:48" x14ac:dyDescent="0.4">
      <c r="A173">
        <v>2313017163</v>
      </c>
      <c r="B173">
        <v>2313017251</v>
      </c>
      <c r="C173" t="str">
        <f>T("친절하기는 얼어 죽을 88화 (완결)")</f>
        <v>친절하기는 얼어 죽을 88화 (완결)</v>
      </c>
      <c r="D173" t="str">
        <f>T("89")</f>
        <v>89</v>
      </c>
      <c r="E173" t="str">
        <f>T("솜목화")</f>
        <v>솜목화</v>
      </c>
      <c r="H173" t="str">
        <f>T("블레슈")</f>
        <v>블레슈</v>
      </c>
      <c r="I173" t="str">
        <f>T("친절하기는 얼어 죽을")</f>
        <v>친절하기는 얼어 죽을</v>
      </c>
      <c r="J173">
        <v>100</v>
      </c>
      <c r="K173">
        <v>9300</v>
      </c>
      <c r="L173">
        <v>93</v>
      </c>
      <c r="M173">
        <v>0</v>
      </c>
      <c r="N173">
        <v>5800</v>
      </c>
      <c r="O173">
        <v>58</v>
      </c>
      <c r="P173">
        <v>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15100</v>
      </c>
      <c r="AH173">
        <v>172</v>
      </c>
      <c r="AI173">
        <v>0</v>
      </c>
      <c r="AJ173">
        <v>0</v>
      </c>
      <c r="AK173">
        <v>14900</v>
      </c>
      <c r="AL173">
        <v>0</v>
      </c>
      <c r="AM173">
        <v>240.41</v>
      </c>
      <c r="AN173">
        <v>-72.12</v>
      </c>
      <c r="AO173">
        <v>0</v>
      </c>
      <c r="AP173">
        <v>9040.9699999999993</v>
      </c>
      <c r="AR173" t="str">
        <f t="shared" si="30"/>
        <v>0000000000000</v>
      </c>
      <c r="AT173" t="str">
        <f>T("9791137604131")</f>
        <v>9791137604131</v>
      </c>
      <c r="AV173" t="str">
        <f>T("로맨스 웹소설 &gt; 현대물")</f>
        <v>로맨스 웹소설 &gt; 현대물</v>
      </c>
    </row>
    <row r="174" spans="1:48" x14ac:dyDescent="0.4">
      <c r="A174">
        <v>2313012817</v>
      </c>
      <c r="B174">
        <v>2313012843</v>
      </c>
      <c r="C174" t="str">
        <f>T("[e북]갓 오브 블랙필드 외전 3권")</f>
        <v>[e북]갓 오브 블랙필드 외전 3권</v>
      </c>
      <c r="D174" t="str">
        <f>T("27")</f>
        <v>27</v>
      </c>
      <c r="E174" t="str">
        <f>T("무장")</f>
        <v>무장</v>
      </c>
      <c r="H174" t="str">
        <f>T("스토리위즈")</f>
        <v>스토리위즈</v>
      </c>
      <c r="I174" t="str">
        <f>T("[e북]갓 오브 블랙필드")</f>
        <v>[e북]갓 오브 블랙필드</v>
      </c>
      <c r="J174">
        <v>3200</v>
      </c>
      <c r="K174">
        <v>9280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9280</v>
      </c>
      <c r="AH174">
        <v>3</v>
      </c>
      <c r="AI174">
        <v>0</v>
      </c>
      <c r="AJ174">
        <v>0</v>
      </c>
      <c r="AK174">
        <v>9280</v>
      </c>
      <c r="AL174">
        <v>0</v>
      </c>
      <c r="AM174">
        <v>0</v>
      </c>
      <c r="AN174">
        <v>0</v>
      </c>
      <c r="AO174">
        <v>0</v>
      </c>
      <c r="AP174">
        <v>6496</v>
      </c>
      <c r="AR174" t="str">
        <f t="shared" si="30"/>
        <v>0000000000000</v>
      </c>
      <c r="AT174" t="str">
        <f>T("9791137602427")</f>
        <v>9791137602427</v>
      </c>
      <c r="AV174" t="str">
        <f>T("판타지 e북 &gt; 현대 판타지")</f>
        <v>판타지 e북 &gt; 현대 판타지</v>
      </c>
    </row>
    <row r="175" spans="1:48" x14ac:dyDescent="0.4">
      <c r="A175">
        <v>2313017163</v>
      </c>
      <c r="B175">
        <v>2313017167</v>
      </c>
      <c r="C175" t="str">
        <f>T("친절하기는 얼어 죽을 4화")</f>
        <v>친절하기는 얼어 죽을 4화</v>
      </c>
      <c r="D175" t="str">
        <f>T("5")</f>
        <v>5</v>
      </c>
      <c r="E175" t="str">
        <f>T("솜목화")</f>
        <v>솜목화</v>
      </c>
      <c r="H175" t="str">
        <f>T("블레슈")</f>
        <v>블레슈</v>
      </c>
      <c r="I175" t="str">
        <f>T("친절하기는 얼어 죽을")</f>
        <v>친절하기는 얼어 죽을</v>
      </c>
      <c r="J175">
        <v>100</v>
      </c>
      <c r="K175">
        <v>9200</v>
      </c>
      <c r="L175">
        <v>92</v>
      </c>
      <c r="M175">
        <v>0</v>
      </c>
      <c r="N175">
        <v>3900</v>
      </c>
      <c r="O175">
        <v>39</v>
      </c>
      <c r="P175">
        <v>2326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13100</v>
      </c>
      <c r="AH175">
        <v>2457</v>
      </c>
      <c r="AI175">
        <v>0</v>
      </c>
      <c r="AJ175">
        <v>0</v>
      </c>
      <c r="AK175">
        <v>13000</v>
      </c>
      <c r="AL175">
        <v>0</v>
      </c>
      <c r="AM175">
        <v>120</v>
      </c>
      <c r="AN175">
        <v>-36</v>
      </c>
      <c r="AO175">
        <v>0</v>
      </c>
      <c r="AP175">
        <v>7850.4</v>
      </c>
      <c r="AR175" t="str">
        <f t="shared" si="30"/>
        <v>0000000000000</v>
      </c>
      <c r="AT175" t="str">
        <f>T("9791137604131")</f>
        <v>9791137604131</v>
      </c>
      <c r="AV175" t="str">
        <f>T("로맨스 웹소설 &gt; 현대물")</f>
        <v>로맨스 웹소설 &gt; 현대물</v>
      </c>
    </row>
    <row r="176" spans="1:48" x14ac:dyDescent="0.4">
      <c r="A176">
        <v>2313017163</v>
      </c>
      <c r="B176">
        <v>2313017174</v>
      </c>
      <c r="C176" t="str">
        <f>T("친절하기는 얼어 죽을 11화")</f>
        <v>친절하기는 얼어 죽을 11화</v>
      </c>
      <c r="D176" t="str">
        <f>T("12")</f>
        <v>12</v>
      </c>
      <c r="E176" t="str">
        <f>T("솜목화")</f>
        <v>솜목화</v>
      </c>
      <c r="H176" t="str">
        <f>T("블레슈")</f>
        <v>블레슈</v>
      </c>
      <c r="I176" t="str">
        <f>T("친절하기는 얼어 죽을")</f>
        <v>친절하기는 얼어 죽을</v>
      </c>
      <c r="J176">
        <v>100</v>
      </c>
      <c r="K176">
        <v>9200</v>
      </c>
      <c r="L176">
        <v>92</v>
      </c>
      <c r="M176">
        <v>0</v>
      </c>
      <c r="N176">
        <v>600</v>
      </c>
      <c r="O176">
        <v>6</v>
      </c>
      <c r="P176">
        <v>48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9800</v>
      </c>
      <c r="AH176">
        <v>146</v>
      </c>
      <c r="AI176">
        <v>0</v>
      </c>
      <c r="AJ176">
        <v>0</v>
      </c>
      <c r="AK176">
        <v>9700</v>
      </c>
      <c r="AL176">
        <v>0</v>
      </c>
      <c r="AM176">
        <v>120</v>
      </c>
      <c r="AN176">
        <v>-36</v>
      </c>
      <c r="AO176">
        <v>0</v>
      </c>
      <c r="AP176">
        <v>5870.4</v>
      </c>
      <c r="AR176" t="str">
        <f t="shared" si="30"/>
        <v>0000000000000</v>
      </c>
      <c r="AT176" t="str">
        <f>T("9791137604131")</f>
        <v>9791137604131</v>
      </c>
      <c r="AV176" t="str">
        <f>T("로맨스 웹소설 &gt; 현대물")</f>
        <v>로맨스 웹소설 &gt; 현대물</v>
      </c>
    </row>
    <row r="177" spans="1:49" x14ac:dyDescent="0.4">
      <c r="A177">
        <v>2313011929</v>
      </c>
      <c r="B177">
        <v>2313011929</v>
      </c>
      <c r="C177" t="str">
        <f>T("[e북]와그작 1권")</f>
        <v>[e북]와그작 1권</v>
      </c>
      <c r="D177" t="str">
        <f>T("1")</f>
        <v>1</v>
      </c>
      <c r="E177" t="str">
        <f>T("세상")</f>
        <v>세상</v>
      </c>
      <c r="H177" t="str">
        <f>T("스토리위즈")</f>
        <v>스토리위즈</v>
      </c>
      <c r="I177" t="str">
        <f>T("[e북]와그작")</f>
        <v>[e북]와그작</v>
      </c>
      <c r="J177">
        <v>4500</v>
      </c>
      <c r="K177">
        <v>9000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9000</v>
      </c>
      <c r="AH177">
        <v>2</v>
      </c>
      <c r="AI177">
        <v>0</v>
      </c>
      <c r="AJ177">
        <v>0</v>
      </c>
      <c r="AK177">
        <v>9000</v>
      </c>
      <c r="AL177">
        <v>0</v>
      </c>
      <c r="AM177">
        <v>0</v>
      </c>
      <c r="AN177">
        <v>0</v>
      </c>
      <c r="AO177">
        <v>0</v>
      </c>
      <c r="AP177">
        <v>6300</v>
      </c>
      <c r="AT177" t="str">
        <f>T("9791137600836")</f>
        <v>9791137600836</v>
      </c>
      <c r="AV177" t="str">
        <f>T("BL 소설 e북 &gt; 현대물")</f>
        <v>BL 소설 e북 &gt; 현대물</v>
      </c>
    </row>
    <row r="178" spans="1:49" x14ac:dyDescent="0.4">
      <c r="A178">
        <v>2313016841</v>
      </c>
      <c r="B178">
        <v>2313016839</v>
      </c>
      <c r="C178" t="str">
        <f>T("[e북]꽃잎, 흩날리는 3권 (완결)")</f>
        <v>[e북]꽃잎, 흩날리는 3권 (완결)</v>
      </c>
      <c r="D178" t="str">
        <f>T("3")</f>
        <v>3</v>
      </c>
      <c r="E178" t="str">
        <f>T("마용출")</f>
        <v>마용출</v>
      </c>
      <c r="H178" t="str">
        <f>T("도서출판 태랑")</f>
        <v>도서출판 태랑</v>
      </c>
      <c r="I178" t="str">
        <f>T("[e북]꽃잎, 흩날리는")</f>
        <v>[e북]꽃잎, 흩날리는</v>
      </c>
      <c r="J178">
        <v>3000</v>
      </c>
      <c r="K178">
        <v>9000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9000</v>
      </c>
      <c r="AH178">
        <v>3</v>
      </c>
      <c r="AI178">
        <v>0</v>
      </c>
      <c r="AJ178">
        <v>0</v>
      </c>
      <c r="AK178">
        <v>9000</v>
      </c>
      <c r="AL178">
        <v>0</v>
      </c>
      <c r="AM178">
        <v>0</v>
      </c>
      <c r="AN178">
        <v>0</v>
      </c>
      <c r="AO178">
        <v>0</v>
      </c>
      <c r="AP178">
        <v>6300</v>
      </c>
      <c r="AT178" t="str">
        <f>T("9791164374830")</f>
        <v>9791164374830</v>
      </c>
      <c r="AV178" t="str">
        <f>T("BL 소설 e북 &gt; 역사/시대물")</f>
        <v>BL 소설 e북 &gt; 역사/시대물</v>
      </c>
    </row>
    <row r="179" spans="1:49" x14ac:dyDescent="0.4">
      <c r="A179">
        <v>2313017035</v>
      </c>
      <c r="B179">
        <v>2313017035</v>
      </c>
      <c r="C179" t="str">
        <f>T("[e북]몸의 선율")</f>
        <v>[e북]몸의 선율</v>
      </c>
      <c r="D179" t="str">
        <f>T("1")</f>
        <v>1</v>
      </c>
      <c r="E179" t="str">
        <f>T("한서아")</f>
        <v>한서아</v>
      </c>
      <c r="H179" t="str">
        <f>T("도서출판 태랑")</f>
        <v>도서출판 태랑</v>
      </c>
      <c r="I179" t="str">
        <f>T("[e북]몸의 선율")</f>
        <v>[e북]몸의 선율</v>
      </c>
      <c r="J179">
        <v>3000</v>
      </c>
      <c r="K179">
        <v>9000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9000</v>
      </c>
      <c r="AH179">
        <v>3</v>
      </c>
      <c r="AI179">
        <v>0</v>
      </c>
      <c r="AJ179">
        <v>0</v>
      </c>
      <c r="AK179">
        <v>9000</v>
      </c>
      <c r="AL179">
        <v>0</v>
      </c>
      <c r="AM179">
        <v>0</v>
      </c>
      <c r="AN179">
        <v>0</v>
      </c>
      <c r="AO179">
        <v>0</v>
      </c>
      <c r="AP179">
        <v>6300</v>
      </c>
      <c r="AT179" t="str">
        <f>T("9791164371563")</f>
        <v>9791164371563</v>
      </c>
      <c r="AV179" t="str">
        <f>T("로맨스 e북 &gt; 현대물")</f>
        <v>로맨스 e북 &gt; 현대물</v>
      </c>
      <c r="AW179" t="str">
        <f>T("로맨스 e북 &gt; 19+")</f>
        <v>로맨스 e북 &gt; 19+</v>
      </c>
    </row>
    <row r="180" spans="1:49" x14ac:dyDescent="0.4">
      <c r="A180">
        <v>2313017048</v>
      </c>
      <c r="B180">
        <v>2313017047</v>
      </c>
      <c r="C180" t="str">
        <f>T("[e북]사랑을 놓치고 (외전증보판) 2권 (완결)")</f>
        <v>[e북]사랑을 놓치고 (외전증보판) 2권 (완결)</v>
      </c>
      <c r="D180" t="str">
        <f>T("2")</f>
        <v>2</v>
      </c>
      <c r="E180" t="str">
        <f>T("차홍주")</f>
        <v>차홍주</v>
      </c>
      <c r="H180" t="str">
        <f>T("도서출판 태랑")</f>
        <v>도서출판 태랑</v>
      </c>
      <c r="I180" t="str">
        <f>T("[e북]사랑을 놓치고 (외전증보판)")</f>
        <v>[e북]사랑을 놓치고 (외전증보판)</v>
      </c>
      <c r="J180">
        <v>3000</v>
      </c>
      <c r="K180">
        <v>9000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9000</v>
      </c>
      <c r="AH180">
        <v>3</v>
      </c>
      <c r="AI180">
        <v>0</v>
      </c>
      <c r="AJ180">
        <v>0</v>
      </c>
      <c r="AK180">
        <v>9000</v>
      </c>
      <c r="AL180">
        <v>0</v>
      </c>
      <c r="AM180">
        <v>0</v>
      </c>
      <c r="AN180">
        <v>0</v>
      </c>
      <c r="AO180">
        <v>0</v>
      </c>
      <c r="AP180">
        <v>6300</v>
      </c>
      <c r="AT180" t="str">
        <f>T("9791164370689")</f>
        <v>9791164370689</v>
      </c>
      <c r="AV180" t="str">
        <f>T("로맨스 e북 &gt; 현대물")</f>
        <v>로맨스 e북 &gt; 현대물</v>
      </c>
      <c r="AW180" t="str">
        <f>T("로맨스 e북 &gt; 19+")</f>
        <v>로맨스 e북 &gt; 19+</v>
      </c>
    </row>
    <row r="181" spans="1:49" x14ac:dyDescent="0.4">
      <c r="A181">
        <v>2313017148</v>
      </c>
      <c r="B181">
        <v>2313017147</v>
      </c>
      <c r="C181" t="str">
        <f>T("[e북]비서의 유혹 2권")</f>
        <v>[e북]비서의 유혹 2권</v>
      </c>
      <c r="D181" t="str">
        <f>T("2")</f>
        <v>2</v>
      </c>
      <c r="E181" t="str">
        <f>T("밈스")</f>
        <v>밈스</v>
      </c>
      <c r="H181" t="str">
        <f>T("도서출판 태랑")</f>
        <v>도서출판 태랑</v>
      </c>
      <c r="I181" t="str">
        <f>T("[e북]비서의 유혹")</f>
        <v>[e북]비서의 유혹</v>
      </c>
      <c r="J181">
        <v>3000</v>
      </c>
      <c r="K181">
        <v>9000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9000</v>
      </c>
      <c r="AH181">
        <v>3</v>
      </c>
      <c r="AI181">
        <v>0</v>
      </c>
      <c r="AJ181">
        <v>0</v>
      </c>
      <c r="AK181">
        <v>9000</v>
      </c>
      <c r="AL181">
        <v>0</v>
      </c>
      <c r="AM181">
        <v>0</v>
      </c>
      <c r="AN181">
        <v>0</v>
      </c>
      <c r="AO181">
        <v>0</v>
      </c>
      <c r="AP181">
        <v>6300</v>
      </c>
      <c r="AT181" t="str">
        <f>T("9791189084455")</f>
        <v>9791189084455</v>
      </c>
      <c r="AV181" t="str">
        <f>T("로맨스 e북 &gt; 현대물")</f>
        <v>로맨스 e북 &gt; 현대물</v>
      </c>
      <c r="AW181" t="str">
        <f>T("로맨스 e북 &gt; 19+")</f>
        <v>로맨스 e북 &gt; 19+</v>
      </c>
    </row>
    <row r="182" spans="1:49" x14ac:dyDescent="0.4">
      <c r="A182">
        <v>2313017163</v>
      </c>
      <c r="B182">
        <v>2313017171</v>
      </c>
      <c r="C182" t="str">
        <f>T("친절하기는 얼어 죽을 8화")</f>
        <v>친절하기는 얼어 죽을 8화</v>
      </c>
      <c r="D182" t="str">
        <f>T("9")</f>
        <v>9</v>
      </c>
      <c r="E182" t="str">
        <f>T("솜목화")</f>
        <v>솜목화</v>
      </c>
      <c r="H182" t="str">
        <f>T("블레슈")</f>
        <v>블레슈</v>
      </c>
      <c r="I182" t="str">
        <f>T("친절하기는 얼어 죽을")</f>
        <v>친절하기는 얼어 죽을</v>
      </c>
      <c r="J182">
        <v>100</v>
      </c>
      <c r="K182">
        <v>8800</v>
      </c>
      <c r="L182">
        <v>88</v>
      </c>
      <c r="M182">
        <v>0</v>
      </c>
      <c r="N182">
        <v>600</v>
      </c>
      <c r="O182">
        <v>6</v>
      </c>
      <c r="P182">
        <v>1868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9400</v>
      </c>
      <c r="AH182">
        <v>1962</v>
      </c>
      <c r="AI182">
        <v>0</v>
      </c>
      <c r="AJ182">
        <v>0</v>
      </c>
      <c r="AK182">
        <v>9300</v>
      </c>
      <c r="AL182">
        <v>0</v>
      </c>
      <c r="AM182">
        <v>120</v>
      </c>
      <c r="AN182">
        <v>-36</v>
      </c>
      <c r="AO182">
        <v>0</v>
      </c>
      <c r="AP182">
        <v>5630.4</v>
      </c>
      <c r="AR182" t="str">
        <f>T("0000000000000")</f>
        <v>0000000000000</v>
      </c>
      <c r="AT182" t="str">
        <f>T("9791137604131")</f>
        <v>9791137604131</v>
      </c>
      <c r="AV182" t="str">
        <f>T("로맨스 웹소설 &gt; 현대물")</f>
        <v>로맨스 웹소설 &gt; 현대물</v>
      </c>
    </row>
    <row r="183" spans="1:49" x14ac:dyDescent="0.4">
      <c r="A183">
        <v>2313016875</v>
      </c>
      <c r="B183">
        <v>2313016875</v>
      </c>
      <c r="C183" t="str">
        <f>T("[e북]사랑한다 윤혜영 (외전증보 삽화본) 1권")</f>
        <v>[e북]사랑한다 윤혜영 (외전증보 삽화본) 1권</v>
      </c>
      <c r="D183" t="str">
        <f>T("1")</f>
        <v>1</v>
      </c>
      <c r="E183" t="str">
        <f>T("블랙커피")</f>
        <v>블랙커피</v>
      </c>
      <c r="H183" t="str">
        <f>T("도서출판 태랑")</f>
        <v>도서출판 태랑</v>
      </c>
      <c r="I183" t="str">
        <f>T("[e북]사랑한다 윤혜영 (외전증보 삽화본)")</f>
        <v>[e북]사랑한다 윤혜영 (외전증보 삽화본)</v>
      </c>
      <c r="J183">
        <v>2900</v>
      </c>
      <c r="K183">
        <v>8700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8700</v>
      </c>
      <c r="AH183">
        <v>3</v>
      </c>
      <c r="AI183">
        <v>0</v>
      </c>
      <c r="AJ183">
        <v>0</v>
      </c>
      <c r="AK183">
        <v>8700</v>
      </c>
      <c r="AL183">
        <v>0</v>
      </c>
      <c r="AM183">
        <v>0</v>
      </c>
      <c r="AN183">
        <v>0</v>
      </c>
      <c r="AO183">
        <v>0</v>
      </c>
      <c r="AP183">
        <v>6090</v>
      </c>
      <c r="AT183" t="str">
        <f>T("9791164373932")</f>
        <v>9791164373932</v>
      </c>
      <c r="AV183" t="str">
        <f>T("로맨스 e북 &gt; 현대물")</f>
        <v>로맨스 e북 &gt; 현대물</v>
      </c>
      <c r="AW183" t="str">
        <f>T("로맨스 e북 &gt; 19+")</f>
        <v>로맨스 e북 &gt; 19+</v>
      </c>
    </row>
    <row r="184" spans="1:49" x14ac:dyDescent="0.4">
      <c r="A184">
        <v>2313017163</v>
      </c>
      <c r="B184">
        <v>2313017175</v>
      </c>
      <c r="C184" t="str">
        <f>T("친절하기는 얼어 죽을 12화")</f>
        <v>친절하기는 얼어 죽을 12화</v>
      </c>
      <c r="D184" t="str">
        <f>T("13")</f>
        <v>13</v>
      </c>
      <c r="E184" t="str">
        <f>T("솜목화")</f>
        <v>솜목화</v>
      </c>
      <c r="H184" t="str">
        <f>T("블레슈")</f>
        <v>블레슈</v>
      </c>
      <c r="I184" t="str">
        <f>T("친절하기는 얼어 죽을")</f>
        <v>친절하기는 얼어 죽을</v>
      </c>
      <c r="J184">
        <v>100</v>
      </c>
      <c r="K184">
        <v>8600</v>
      </c>
      <c r="L184">
        <v>86</v>
      </c>
      <c r="M184">
        <v>0</v>
      </c>
      <c r="N184">
        <v>1000</v>
      </c>
      <c r="O184">
        <v>10</v>
      </c>
      <c r="P184">
        <v>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9600</v>
      </c>
      <c r="AH184">
        <v>101</v>
      </c>
      <c r="AI184">
        <v>0</v>
      </c>
      <c r="AJ184">
        <v>0</v>
      </c>
      <c r="AK184">
        <v>9600</v>
      </c>
      <c r="AL184">
        <v>0</v>
      </c>
      <c r="AM184">
        <v>0</v>
      </c>
      <c r="AN184">
        <v>0</v>
      </c>
      <c r="AO184">
        <v>0</v>
      </c>
      <c r="AP184">
        <v>5760</v>
      </c>
      <c r="AR184" t="str">
        <f>T("0000000000000")</f>
        <v>0000000000000</v>
      </c>
      <c r="AT184" t="str">
        <f>T("9791137604131")</f>
        <v>9791137604131</v>
      </c>
      <c r="AV184" t="str">
        <f>T("로맨스 웹소설 &gt; 현대물")</f>
        <v>로맨스 웹소설 &gt; 현대물</v>
      </c>
    </row>
    <row r="185" spans="1:49" x14ac:dyDescent="0.4">
      <c r="A185">
        <v>2313011913</v>
      </c>
      <c r="B185">
        <v>2313011915</v>
      </c>
      <c r="C185" t="str">
        <f>T("[e북]아저씨, 내 기분 왜 이래요? 3권 (완결)")</f>
        <v>[e북]아저씨, 내 기분 왜 이래요? 3권 (완결)</v>
      </c>
      <c r="D185" t="str">
        <f>T("3")</f>
        <v>3</v>
      </c>
      <c r="E185" t="str">
        <f>T("Livingston")</f>
        <v>Livingston</v>
      </c>
      <c r="H185" t="str">
        <f>T("스토리위즈")</f>
        <v>스토리위즈</v>
      </c>
      <c r="I185" t="str">
        <f>T("[e북]아저씨, 내 기분 왜 이래요?")</f>
        <v>[e북]아저씨, 내 기분 왜 이래요?</v>
      </c>
      <c r="J185">
        <v>3000</v>
      </c>
      <c r="K185">
        <v>8400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8400</v>
      </c>
      <c r="AH185">
        <v>3</v>
      </c>
      <c r="AI185">
        <v>0</v>
      </c>
      <c r="AJ185">
        <v>0</v>
      </c>
      <c r="AK185">
        <v>8400</v>
      </c>
      <c r="AL185">
        <v>0</v>
      </c>
      <c r="AM185">
        <v>0</v>
      </c>
      <c r="AN185">
        <v>0</v>
      </c>
      <c r="AO185">
        <v>0</v>
      </c>
      <c r="AP185">
        <v>5880</v>
      </c>
      <c r="AT185" t="str">
        <f>T("9791137600829")</f>
        <v>9791137600829</v>
      </c>
      <c r="AV185" t="str">
        <f>T("로맨스 e북 &gt; 현대물")</f>
        <v>로맨스 e북 &gt; 현대물</v>
      </c>
    </row>
    <row r="186" spans="1:49" x14ac:dyDescent="0.4">
      <c r="A186">
        <v>2313016851</v>
      </c>
      <c r="B186">
        <v>2313016849</v>
      </c>
      <c r="C186" t="str">
        <f>T("[e북]어쩌다 계약 아내 (외전증보판) 3권 (완결)")</f>
        <v>[e북]어쩌다 계약 아내 (외전증보판) 3권 (완결)</v>
      </c>
      <c r="D186" t="str">
        <f>T("3")</f>
        <v>3</v>
      </c>
      <c r="E186" t="str">
        <f>T("아슈크림")</f>
        <v>아슈크림</v>
      </c>
      <c r="H186" t="str">
        <f>T("도서출판 태랑")</f>
        <v>도서출판 태랑</v>
      </c>
      <c r="I186" t="str">
        <f>T("[e북]어쩌다 계약 아내 (외전증보판)")</f>
        <v>[e북]어쩌다 계약 아내 (외전증보판)</v>
      </c>
      <c r="J186">
        <v>2800</v>
      </c>
      <c r="K186">
        <v>8400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8400</v>
      </c>
      <c r="AH186">
        <v>3</v>
      </c>
      <c r="AI186">
        <v>0</v>
      </c>
      <c r="AJ186">
        <v>0</v>
      </c>
      <c r="AK186">
        <v>8400</v>
      </c>
      <c r="AL186">
        <v>0</v>
      </c>
      <c r="AM186">
        <v>0</v>
      </c>
      <c r="AN186">
        <v>0</v>
      </c>
      <c r="AO186">
        <v>0</v>
      </c>
      <c r="AP186">
        <v>5880</v>
      </c>
      <c r="AT186" t="str">
        <f>T("9791164374557")</f>
        <v>9791164374557</v>
      </c>
      <c r="AV186" t="str">
        <f>T("로맨스 e북 &gt; 현대물")</f>
        <v>로맨스 e북 &gt; 현대물</v>
      </c>
    </row>
    <row r="187" spans="1:49" x14ac:dyDescent="0.4">
      <c r="A187">
        <v>2313016851</v>
      </c>
      <c r="B187">
        <v>2313016850</v>
      </c>
      <c r="C187" t="str">
        <f>T("[e북]어쩌다 계약 아내 (외전증보판) 2권")</f>
        <v>[e북]어쩌다 계약 아내 (외전증보판) 2권</v>
      </c>
      <c r="D187" t="str">
        <f>T("2")</f>
        <v>2</v>
      </c>
      <c r="E187" t="str">
        <f>T("아슈크림")</f>
        <v>아슈크림</v>
      </c>
      <c r="H187" t="str">
        <f>T("도서출판 태랑")</f>
        <v>도서출판 태랑</v>
      </c>
      <c r="I187" t="str">
        <f>T("[e북]어쩌다 계약 아내 (외전증보판)")</f>
        <v>[e북]어쩌다 계약 아내 (외전증보판)</v>
      </c>
      <c r="J187">
        <v>2800</v>
      </c>
      <c r="K187">
        <v>8400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8400</v>
      </c>
      <c r="AH187">
        <v>3</v>
      </c>
      <c r="AI187">
        <v>0</v>
      </c>
      <c r="AJ187">
        <v>0</v>
      </c>
      <c r="AK187">
        <v>8400</v>
      </c>
      <c r="AL187">
        <v>0</v>
      </c>
      <c r="AM187">
        <v>0</v>
      </c>
      <c r="AN187">
        <v>0</v>
      </c>
      <c r="AO187">
        <v>0</v>
      </c>
      <c r="AP187">
        <v>5880</v>
      </c>
      <c r="AT187" t="str">
        <f>T("9791164374540")</f>
        <v>9791164374540</v>
      </c>
      <c r="AV187" t="str">
        <f>T("로맨스 e북 &gt; 현대물")</f>
        <v>로맨스 e북 &gt; 현대물</v>
      </c>
    </row>
    <row r="188" spans="1:49" x14ac:dyDescent="0.4">
      <c r="A188">
        <v>2313016851</v>
      </c>
      <c r="B188">
        <v>2313016851</v>
      </c>
      <c r="C188" t="str">
        <f>T("[e북]어쩌다 계약 아내 (외전증보판) 1권")</f>
        <v>[e북]어쩌다 계약 아내 (외전증보판) 1권</v>
      </c>
      <c r="D188" t="str">
        <f>T("1")</f>
        <v>1</v>
      </c>
      <c r="E188" t="str">
        <f>T("아슈크림")</f>
        <v>아슈크림</v>
      </c>
      <c r="H188" t="str">
        <f>T("도서출판 태랑")</f>
        <v>도서출판 태랑</v>
      </c>
      <c r="I188" t="str">
        <f>T("[e북]어쩌다 계약 아내 (외전증보판)")</f>
        <v>[e북]어쩌다 계약 아내 (외전증보판)</v>
      </c>
      <c r="J188">
        <v>2800</v>
      </c>
      <c r="K188">
        <v>8400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8400</v>
      </c>
      <c r="AH188">
        <v>3</v>
      </c>
      <c r="AI188">
        <v>0</v>
      </c>
      <c r="AJ188">
        <v>0</v>
      </c>
      <c r="AK188">
        <v>8400</v>
      </c>
      <c r="AL188">
        <v>0</v>
      </c>
      <c r="AM188">
        <v>0</v>
      </c>
      <c r="AN188">
        <v>0</v>
      </c>
      <c r="AO188">
        <v>0</v>
      </c>
      <c r="AP188">
        <v>5880</v>
      </c>
      <c r="AT188" t="str">
        <f>T("9791164374533")</f>
        <v>9791164374533</v>
      </c>
      <c r="AV188" t="str">
        <f>T("로맨스 e북 &gt; 현대물")</f>
        <v>로맨스 e북 &gt; 현대물</v>
      </c>
    </row>
    <row r="189" spans="1:49" x14ac:dyDescent="0.4">
      <c r="A189">
        <v>2313017102</v>
      </c>
      <c r="B189">
        <v>2313017101</v>
      </c>
      <c r="C189" t="str">
        <f>T("[e북]정혼자 2권 (완결)")</f>
        <v>[e북]정혼자 2권 (완결)</v>
      </c>
      <c r="D189" t="str">
        <f>T("2")</f>
        <v>2</v>
      </c>
      <c r="E189" t="str">
        <f>T("모리미")</f>
        <v>모리미</v>
      </c>
      <c r="H189" t="str">
        <f>T("도서출판 태랑")</f>
        <v>도서출판 태랑</v>
      </c>
      <c r="I189" t="str">
        <f>T("[e북]정혼자")</f>
        <v>[e북]정혼자</v>
      </c>
      <c r="J189">
        <v>2800</v>
      </c>
      <c r="K189">
        <v>8400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8400</v>
      </c>
      <c r="AH189">
        <v>3</v>
      </c>
      <c r="AI189">
        <v>0</v>
      </c>
      <c r="AJ189">
        <v>0</v>
      </c>
      <c r="AK189">
        <v>8400</v>
      </c>
      <c r="AL189">
        <v>0</v>
      </c>
      <c r="AM189">
        <v>0</v>
      </c>
      <c r="AN189">
        <v>0</v>
      </c>
      <c r="AO189">
        <v>0</v>
      </c>
      <c r="AP189">
        <v>5880</v>
      </c>
      <c r="AT189" t="str">
        <f>T("9791189627881")</f>
        <v>9791189627881</v>
      </c>
      <c r="AV189" t="str">
        <f>T("BL 소설 e북 &gt; 현대물")</f>
        <v>BL 소설 e북 &gt; 현대물</v>
      </c>
    </row>
    <row r="190" spans="1:49" x14ac:dyDescent="0.4">
      <c r="A190">
        <v>2313017102</v>
      </c>
      <c r="B190">
        <v>2313017102</v>
      </c>
      <c r="C190" t="str">
        <f>T("[e북]정혼자 1권")</f>
        <v>[e북]정혼자 1권</v>
      </c>
      <c r="D190" t="str">
        <f>T("1")</f>
        <v>1</v>
      </c>
      <c r="E190" t="str">
        <f>T("모리미")</f>
        <v>모리미</v>
      </c>
      <c r="H190" t="str">
        <f>T("도서출판 태랑")</f>
        <v>도서출판 태랑</v>
      </c>
      <c r="I190" t="str">
        <f>T("[e북]정혼자")</f>
        <v>[e북]정혼자</v>
      </c>
      <c r="J190">
        <v>2800</v>
      </c>
      <c r="K190">
        <v>8400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8400</v>
      </c>
      <c r="AH190">
        <v>3</v>
      </c>
      <c r="AI190">
        <v>0</v>
      </c>
      <c r="AJ190">
        <v>0</v>
      </c>
      <c r="AK190">
        <v>8400</v>
      </c>
      <c r="AL190">
        <v>0</v>
      </c>
      <c r="AM190">
        <v>0</v>
      </c>
      <c r="AN190">
        <v>0</v>
      </c>
      <c r="AO190">
        <v>0</v>
      </c>
      <c r="AP190">
        <v>5880</v>
      </c>
      <c r="AT190" t="str">
        <f>T("9791189627874")</f>
        <v>9791189627874</v>
      </c>
      <c r="AV190" t="str">
        <f>T("BL 소설 e북 &gt; 현대물")</f>
        <v>BL 소설 e북 &gt; 현대물</v>
      </c>
    </row>
    <row r="191" spans="1:49" x14ac:dyDescent="0.4">
      <c r="A191">
        <v>2313017163</v>
      </c>
      <c r="B191">
        <v>2313017172</v>
      </c>
      <c r="C191" t="str">
        <f>T("친절하기는 얼어 죽을 9화")</f>
        <v>친절하기는 얼어 죽을 9화</v>
      </c>
      <c r="D191" t="str">
        <f>T("10")</f>
        <v>10</v>
      </c>
      <c r="E191" t="str">
        <f t="shared" ref="E191:E203" si="31">T("솜목화")</f>
        <v>솜목화</v>
      </c>
      <c r="H191" t="str">
        <f t="shared" ref="H191:H203" si="32">T("블레슈")</f>
        <v>블레슈</v>
      </c>
      <c r="I191" t="str">
        <f t="shared" ref="I191:I203" si="33">T("친절하기는 얼어 죽을")</f>
        <v>친절하기는 얼어 죽을</v>
      </c>
      <c r="J191">
        <v>100</v>
      </c>
      <c r="K191">
        <v>8300</v>
      </c>
      <c r="L191">
        <v>83</v>
      </c>
      <c r="M191">
        <v>0</v>
      </c>
      <c r="N191">
        <v>200</v>
      </c>
      <c r="O191">
        <v>2</v>
      </c>
      <c r="P191">
        <v>1895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8500</v>
      </c>
      <c r="AH191">
        <v>1980</v>
      </c>
      <c r="AI191">
        <v>0</v>
      </c>
      <c r="AJ191">
        <v>0</v>
      </c>
      <c r="AK191">
        <v>8400</v>
      </c>
      <c r="AL191">
        <v>0</v>
      </c>
      <c r="AM191">
        <v>120</v>
      </c>
      <c r="AN191">
        <v>-36</v>
      </c>
      <c r="AO191">
        <v>0</v>
      </c>
      <c r="AP191">
        <v>5090.3999999999996</v>
      </c>
      <c r="AR191" t="str">
        <f t="shared" ref="AR191:AR203" si="34">T("0000000000000")</f>
        <v>0000000000000</v>
      </c>
      <c r="AT191" t="str">
        <f t="shared" ref="AT191:AT203" si="35">T("9791137604131")</f>
        <v>9791137604131</v>
      </c>
      <c r="AV191" t="str">
        <f t="shared" ref="AV191:AV203" si="36">T("로맨스 웹소설 &gt; 현대물")</f>
        <v>로맨스 웹소설 &gt; 현대물</v>
      </c>
    </row>
    <row r="192" spans="1:49" x14ac:dyDescent="0.4">
      <c r="A192">
        <v>2313017163</v>
      </c>
      <c r="B192">
        <v>2313017173</v>
      </c>
      <c r="C192" t="str">
        <f>T("친절하기는 얼어 죽을 10화")</f>
        <v>친절하기는 얼어 죽을 10화</v>
      </c>
      <c r="D192" t="str">
        <f>T("11")</f>
        <v>11</v>
      </c>
      <c r="E192" t="str">
        <f t="shared" si="31"/>
        <v>솜목화</v>
      </c>
      <c r="H192" t="str">
        <f t="shared" si="32"/>
        <v>블레슈</v>
      </c>
      <c r="I192" t="str">
        <f t="shared" si="33"/>
        <v>친절하기는 얼어 죽을</v>
      </c>
      <c r="J192">
        <v>100</v>
      </c>
      <c r="K192">
        <v>8200</v>
      </c>
      <c r="L192">
        <v>82</v>
      </c>
      <c r="M192">
        <v>0</v>
      </c>
      <c r="N192">
        <v>200</v>
      </c>
      <c r="O192">
        <v>2</v>
      </c>
      <c r="P192">
        <v>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8400</v>
      </c>
      <c r="AH192">
        <v>93</v>
      </c>
      <c r="AI192">
        <v>0</v>
      </c>
      <c r="AJ192">
        <v>0</v>
      </c>
      <c r="AK192">
        <v>8300</v>
      </c>
      <c r="AL192">
        <v>0</v>
      </c>
      <c r="AM192">
        <v>120</v>
      </c>
      <c r="AN192">
        <v>-36</v>
      </c>
      <c r="AO192">
        <v>0</v>
      </c>
      <c r="AP192">
        <v>5030.3999999999996</v>
      </c>
      <c r="AR192" t="str">
        <f t="shared" si="34"/>
        <v>0000000000000</v>
      </c>
      <c r="AT192" t="str">
        <f t="shared" si="35"/>
        <v>9791137604131</v>
      </c>
      <c r="AV192" t="str">
        <f t="shared" si="36"/>
        <v>로맨스 웹소설 &gt; 현대물</v>
      </c>
    </row>
    <row r="193" spans="1:48" x14ac:dyDescent="0.4">
      <c r="A193">
        <v>2313017163</v>
      </c>
      <c r="B193">
        <v>2313017176</v>
      </c>
      <c r="C193" t="str">
        <f>T("친절하기는 얼어 죽을 13화")</f>
        <v>친절하기는 얼어 죽을 13화</v>
      </c>
      <c r="D193" t="str">
        <f>T("14")</f>
        <v>14</v>
      </c>
      <c r="E193" t="str">
        <f t="shared" si="31"/>
        <v>솜목화</v>
      </c>
      <c r="H193" t="str">
        <f t="shared" si="32"/>
        <v>블레슈</v>
      </c>
      <c r="I193" t="str">
        <f t="shared" si="33"/>
        <v>친절하기는 얼어 죽을</v>
      </c>
      <c r="J193">
        <v>100</v>
      </c>
      <c r="K193">
        <v>8200</v>
      </c>
      <c r="L193">
        <v>82</v>
      </c>
      <c r="M193">
        <v>0</v>
      </c>
      <c r="N193">
        <v>500</v>
      </c>
      <c r="O193">
        <v>5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-100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8700</v>
      </c>
      <c r="AH193">
        <v>89</v>
      </c>
      <c r="AI193">
        <v>-100</v>
      </c>
      <c r="AJ193">
        <v>1</v>
      </c>
      <c r="AK193">
        <v>8600</v>
      </c>
      <c r="AL193">
        <v>-100</v>
      </c>
      <c r="AM193">
        <v>120</v>
      </c>
      <c r="AN193">
        <v>-36</v>
      </c>
      <c r="AO193">
        <v>0</v>
      </c>
      <c r="AP193">
        <v>5150.3999999999996</v>
      </c>
      <c r="AR193" t="str">
        <f t="shared" si="34"/>
        <v>0000000000000</v>
      </c>
      <c r="AT193" t="str">
        <f t="shared" si="35"/>
        <v>9791137604131</v>
      </c>
      <c r="AV193" t="str">
        <f t="shared" si="36"/>
        <v>로맨스 웹소설 &gt; 현대물</v>
      </c>
    </row>
    <row r="194" spans="1:48" x14ac:dyDescent="0.4">
      <c r="A194">
        <v>2313017163</v>
      </c>
      <c r="B194">
        <v>2313017177</v>
      </c>
      <c r="C194" t="str">
        <f>T("친절하기는 얼어 죽을 14화")</f>
        <v>친절하기는 얼어 죽을 14화</v>
      </c>
      <c r="D194" t="str">
        <f>T("15")</f>
        <v>15</v>
      </c>
      <c r="E194" t="str">
        <f t="shared" si="31"/>
        <v>솜목화</v>
      </c>
      <c r="H194" t="str">
        <f t="shared" si="32"/>
        <v>블레슈</v>
      </c>
      <c r="I194" t="str">
        <f t="shared" si="33"/>
        <v>친절하기는 얼어 죽을</v>
      </c>
      <c r="J194">
        <v>100</v>
      </c>
      <c r="K194">
        <v>8100</v>
      </c>
      <c r="L194">
        <v>81</v>
      </c>
      <c r="M194">
        <v>0</v>
      </c>
      <c r="N194">
        <v>500</v>
      </c>
      <c r="O194">
        <v>5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8600</v>
      </c>
      <c r="AH194">
        <v>89</v>
      </c>
      <c r="AI194">
        <v>0</v>
      </c>
      <c r="AJ194">
        <v>0</v>
      </c>
      <c r="AK194">
        <v>8500</v>
      </c>
      <c r="AL194">
        <v>0</v>
      </c>
      <c r="AM194">
        <v>120</v>
      </c>
      <c r="AN194">
        <v>-36</v>
      </c>
      <c r="AO194">
        <v>0</v>
      </c>
      <c r="AP194">
        <v>5150.3999999999996</v>
      </c>
      <c r="AR194" t="str">
        <f t="shared" si="34"/>
        <v>0000000000000</v>
      </c>
      <c r="AT194" t="str">
        <f t="shared" si="35"/>
        <v>9791137604131</v>
      </c>
      <c r="AV194" t="str">
        <f t="shared" si="36"/>
        <v>로맨스 웹소설 &gt; 현대물</v>
      </c>
    </row>
    <row r="195" spans="1:48" x14ac:dyDescent="0.4">
      <c r="A195">
        <v>2313017163</v>
      </c>
      <c r="B195">
        <v>2313017178</v>
      </c>
      <c r="C195" t="str">
        <f>T("친절하기는 얼어 죽을 15화")</f>
        <v>친절하기는 얼어 죽을 15화</v>
      </c>
      <c r="D195" t="str">
        <f>T("16")</f>
        <v>16</v>
      </c>
      <c r="E195" t="str">
        <f t="shared" si="31"/>
        <v>솜목화</v>
      </c>
      <c r="H195" t="str">
        <f t="shared" si="32"/>
        <v>블레슈</v>
      </c>
      <c r="I195" t="str">
        <f t="shared" si="33"/>
        <v>친절하기는 얼어 죽을</v>
      </c>
      <c r="J195">
        <v>100</v>
      </c>
      <c r="K195">
        <v>8100</v>
      </c>
      <c r="L195">
        <v>81</v>
      </c>
      <c r="M195">
        <v>0</v>
      </c>
      <c r="N195">
        <v>400</v>
      </c>
      <c r="O195">
        <v>4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8500</v>
      </c>
      <c r="AH195">
        <v>87</v>
      </c>
      <c r="AI195">
        <v>0</v>
      </c>
      <c r="AJ195">
        <v>0</v>
      </c>
      <c r="AK195">
        <v>8400</v>
      </c>
      <c r="AL195">
        <v>0</v>
      </c>
      <c r="AM195">
        <v>120</v>
      </c>
      <c r="AN195">
        <v>-36</v>
      </c>
      <c r="AO195">
        <v>0</v>
      </c>
      <c r="AP195">
        <v>5090.3999999999996</v>
      </c>
      <c r="AR195" t="str">
        <f t="shared" si="34"/>
        <v>0000000000000</v>
      </c>
      <c r="AT195" t="str">
        <f t="shared" si="35"/>
        <v>9791137604131</v>
      </c>
      <c r="AV195" t="str">
        <f t="shared" si="36"/>
        <v>로맨스 웹소설 &gt; 현대물</v>
      </c>
    </row>
    <row r="196" spans="1:48" x14ac:dyDescent="0.4">
      <c r="A196">
        <v>2313017163</v>
      </c>
      <c r="B196">
        <v>2313017185</v>
      </c>
      <c r="C196" t="str">
        <f>T("친절하기는 얼어 죽을 22화")</f>
        <v>친절하기는 얼어 죽을 22화</v>
      </c>
      <c r="D196" t="str">
        <f>T("23")</f>
        <v>23</v>
      </c>
      <c r="E196" t="str">
        <f t="shared" si="31"/>
        <v>솜목화</v>
      </c>
      <c r="H196" t="str">
        <f t="shared" si="32"/>
        <v>블레슈</v>
      </c>
      <c r="I196" t="str">
        <f t="shared" si="33"/>
        <v>친절하기는 얼어 죽을</v>
      </c>
      <c r="J196">
        <v>100</v>
      </c>
      <c r="K196">
        <v>8100</v>
      </c>
      <c r="L196">
        <v>81</v>
      </c>
      <c r="M196">
        <v>0</v>
      </c>
      <c r="N196">
        <v>300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8400</v>
      </c>
      <c r="AH196">
        <v>84</v>
      </c>
      <c r="AI196">
        <v>0</v>
      </c>
      <c r="AJ196">
        <v>0</v>
      </c>
      <c r="AK196">
        <v>8300</v>
      </c>
      <c r="AL196">
        <v>0</v>
      </c>
      <c r="AM196">
        <v>120</v>
      </c>
      <c r="AN196">
        <v>-36</v>
      </c>
      <c r="AO196">
        <v>0</v>
      </c>
      <c r="AP196">
        <v>5030.3999999999996</v>
      </c>
      <c r="AR196" t="str">
        <f t="shared" si="34"/>
        <v>0000000000000</v>
      </c>
      <c r="AT196" t="str">
        <f t="shared" si="35"/>
        <v>9791137604131</v>
      </c>
      <c r="AV196" t="str">
        <f t="shared" si="36"/>
        <v>로맨스 웹소설 &gt; 현대물</v>
      </c>
    </row>
    <row r="197" spans="1:48" x14ac:dyDescent="0.4">
      <c r="A197">
        <v>2313017163</v>
      </c>
      <c r="B197">
        <v>2313017180</v>
      </c>
      <c r="C197" t="str">
        <f>T("친절하기는 얼어 죽을 17화")</f>
        <v>친절하기는 얼어 죽을 17화</v>
      </c>
      <c r="D197" t="str">
        <f>T("18")</f>
        <v>18</v>
      </c>
      <c r="E197" t="str">
        <f t="shared" si="31"/>
        <v>솜목화</v>
      </c>
      <c r="H197" t="str">
        <f t="shared" si="32"/>
        <v>블레슈</v>
      </c>
      <c r="I197" t="str">
        <f t="shared" si="33"/>
        <v>친절하기는 얼어 죽을</v>
      </c>
      <c r="J197">
        <v>100</v>
      </c>
      <c r="K197">
        <v>8000</v>
      </c>
      <c r="L197">
        <v>80</v>
      </c>
      <c r="M197">
        <v>0</v>
      </c>
      <c r="N197">
        <v>200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8200</v>
      </c>
      <c r="AH197">
        <v>82</v>
      </c>
      <c r="AI197">
        <v>0</v>
      </c>
      <c r="AJ197">
        <v>0</v>
      </c>
      <c r="AK197">
        <v>8100</v>
      </c>
      <c r="AL197">
        <v>0</v>
      </c>
      <c r="AM197">
        <v>120</v>
      </c>
      <c r="AN197">
        <v>-36</v>
      </c>
      <c r="AO197">
        <v>0</v>
      </c>
      <c r="AP197">
        <v>4910.3999999999996</v>
      </c>
      <c r="AR197" t="str">
        <f t="shared" si="34"/>
        <v>0000000000000</v>
      </c>
      <c r="AT197" t="str">
        <f t="shared" si="35"/>
        <v>9791137604131</v>
      </c>
      <c r="AV197" t="str">
        <f t="shared" si="36"/>
        <v>로맨스 웹소설 &gt; 현대물</v>
      </c>
    </row>
    <row r="198" spans="1:48" x14ac:dyDescent="0.4">
      <c r="A198">
        <v>2313017163</v>
      </c>
      <c r="B198">
        <v>2313017186</v>
      </c>
      <c r="C198" t="str">
        <f>T("친절하기는 얼어 죽을 23화")</f>
        <v>친절하기는 얼어 죽을 23화</v>
      </c>
      <c r="D198" t="str">
        <f>T("24")</f>
        <v>24</v>
      </c>
      <c r="E198" t="str">
        <f t="shared" si="31"/>
        <v>솜목화</v>
      </c>
      <c r="H198" t="str">
        <f t="shared" si="32"/>
        <v>블레슈</v>
      </c>
      <c r="I198" t="str">
        <f t="shared" si="33"/>
        <v>친절하기는 얼어 죽을</v>
      </c>
      <c r="J198">
        <v>100</v>
      </c>
      <c r="K198">
        <v>8000</v>
      </c>
      <c r="L198">
        <v>80</v>
      </c>
      <c r="M198">
        <v>0</v>
      </c>
      <c r="N198">
        <v>200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8200</v>
      </c>
      <c r="AH198">
        <v>83</v>
      </c>
      <c r="AI198">
        <v>0</v>
      </c>
      <c r="AJ198">
        <v>0</v>
      </c>
      <c r="AK198">
        <v>8100</v>
      </c>
      <c r="AL198">
        <v>0</v>
      </c>
      <c r="AM198">
        <v>120</v>
      </c>
      <c r="AN198">
        <v>-36</v>
      </c>
      <c r="AO198">
        <v>0</v>
      </c>
      <c r="AP198">
        <v>4910.3999999999996</v>
      </c>
      <c r="AR198" t="str">
        <f t="shared" si="34"/>
        <v>0000000000000</v>
      </c>
      <c r="AT198" t="str">
        <f t="shared" si="35"/>
        <v>9791137604131</v>
      </c>
      <c r="AV198" t="str">
        <f t="shared" si="36"/>
        <v>로맨스 웹소설 &gt; 현대물</v>
      </c>
    </row>
    <row r="199" spans="1:48" x14ac:dyDescent="0.4">
      <c r="A199">
        <v>2313017163</v>
      </c>
      <c r="B199">
        <v>2313017187</v>
      </c>
      <c r="C199" t="str">
        <f>T("친절하기는 얼어 죽을 24화")</f>
        <v>친절하기는 얼어 죽을 24화</v>
      </c>
      <c r="D199" t="str">
        <f>T("25")</f>
        <v>25</v>
      </c>
      <c r="E199" t="str">
        <f t="shared" si="31"/>
        <v>솜목화</v>
      </c>
      <c r="H199" t="str">
        <f t="shared" si="32"/>
        <v>블레슈</v>
      </c>
      <c r="I199" t="str">
        <f t="shared" si="33"/>
        <v>친절하기는 얼어 죽을</v>
      </c>
      <c r="J199">
        <v>100</v>
      </c>
      <c r="K199">
        <v>8000</v>
      </c>
      <c r="L199">
        <v>80</v>
      </c>
      <c r="M199">
        <v>0</v>
      </c>
      <c r="N199">
        <v>200</v>
      </c>
      <c r="O199">
        <v>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8200</v>
      </c>
      <c r="AH199">
        <v>83</v>
      </c>
      <c r="AI199">
        <v>0</v>
      </c>
      <c r="AJ199">
        <v>0</v>
      </c>
      <c r="AK199">
        <v>8100</v>
      </c>
      <c r="AL199">
        <v>0</v>
      </c>
      <c r="AM199">
        <v>120</v>
      </c>
      <c r="AN199">
        <v>-36</v>
      </c>
      <c r="AO199">
        <v>0</v>
      </c>
      <c r="AP199">
        <v>4910.3999999999996</v>
      </c>
      <c r="AR199" t="str">
        <f t="shared" si="34"/>
        <v>0000000000000</v>
      </c>
      <c r="AT199" t="str">
        <f t="shared" si="35"/>
        <v>9791137604131</v>
      </c>
      <c r="AV199" t="str">
        <f t="shared" si="36"/>
        <v>로맨스 웹소설 &gt; 현대물</v>
      </c>
    </row>
    <row r="200" spans="1:48" x14ac:dyDescent="0.4">
      <c r="A200">
        <v>2313017163</v>
      </c>
      <c r="B200">
        <v>2313017179</v>
      </c>
      <c r="C200" t="str">
        <f>T("친절하기는 얼어 죽을 16화")</f>
        <v>친절하기는 얼어 죽을 16화</v>
      </c>
      <c r="D200" t="str">
        <f>T("17")</f>
        <v>17</v>
      </c>
      <c r="E200" t="str">
        <f t="shared" si="31"/>
        <v>솜목화</v>
      </c>
      <c r="H200" t="str">
        <f t="shared" si="32"/>
        <v>블레슈</v>
      </c>
      <c r="I200" t="str">
        <f t="shared" si="33"/>
        <v>친절하기는 얼어 죽을</v>
      </c>
      <c r="J200">
        <v>100</v>
      </c>
      <c r="K200">
        <v>7900</v>
      </c>
      <c r="L200">
        <v>79</v>
      </c>
      <c r="M200">
        <v>0</v>
      </c>
      <c r="N200">
        <v>200</v>
      </c>
      <c r="O200">
        <v>2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8100</v>
      </c>
      <c r="AH200">
        <v>85</v>
      </c>
      <c r="AI200">
        <v>0</v>
      </c>
      <c r="AJ200">
        <v>0</v>
      </c>
      <c r="AK200">
        <v>8000</v>
      </c>
      <c r="AL200">
        <v>0</v>
      </c>
      <c r="AM200">
        <v>120</v>
      </c>
      <c r="AN200">
        <v>-36</v>
      </c>
      <c r="AO200">
        <v>0</v>
      </c>
      <c r="AP200">
        <v>4850.3999999999996</v>
      </c>
      <c r="AR200" t="str">
        <f t="shared" si="34"/>
        <v>0000000000000</v>
      </c>
      <c r="AT200" t="str">
        <f t="shared" si="35"/>
        <v>9791137604131</v>
      </c>
      <c r="AV200" t="str">
        <f t="shared" si="36"/>
        <v>로맨스 웹소설 &gt; 현대물</v>
      </c>
    </row>
    <row r="201" spans="1:48" x14ac:dyDescent="0.4">
      <c r="A201">
        <v>2313017163</v>
      </c>
      <c r="B201">
        <v>2313017183</v>
      </c>
      <c r="C201" t="str">
        <f>T("친절하기는 얼어 죽을 20화")</f>
        <v>친절하기는 얼어 죽을 20화</v>
      </c>
      <c r="D201" t="str">
        <f>T("21")</f>
        <v>21</v>
      </c>
      <c r="E201" t="str">
        <f t="shared" si="31"/>
        <v>솜목화</v>
      </c>
      <c r="H201" t="str">
        <f t="shared" si="32"/>
        <v>블레슈</v>
      </c>
      <c r="I201" t="str">
        <f t="shared" si="33"/>
        <v>친절하기는 얼어 죽을</v>
      </c>
      <c r="J201">
        <v>100</v>
      </c>
      <c r="K201">
        <v>7800</v>
      </c>
      <c r="L201">
        <v>78</v>
      </c>
      <c r="M201">
        <v>0</v>
      </c>
      <c r="N201">
        <v>200</v>
      </c>
      <c r="O201">
        <v>2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8000</v>
      </c>
      <c r="AH201">
        <v>83</v>
      </c>
      <c r="AI201">
        <v>0</v>
      </c>
      <c r="AJ201">
        <v>0</v>
      </c>
      <c r="AK201">
        <v>7900</v>
      </c>
      <c r="AL201">
        <v>0</v>
      </c>
      <c r="AM201">
        <v>120</v>
      </c>
      <c r="AN201">
        <v>-36</v>
      </c>
      <c r="AO201">
        <v>0</v>
      </c>
      <c r="AP201">
        <v>4790.3999999999996</v>
      </c>
      <c r="AR201" t="str">
        <f t="shared" si="34"/>
        <v>0000000000000</v>
      </c>
      <c r="AT201" t="str">
        <f t="shared" si="35"/>
        <v>9791137604131</v>
      </c>
      <c r="AV201" t="str">
        <f t="shared" si="36"/>
        <v>로맨스 웹소설 &gt; 현대물</v>
      </c>
    </row>
    <row r="202" spans="1:48" x14ac:dyDescent="0.4">
      <c r="A202">
        <v>2313017163</v>
      </c>
      <c r="B202">
        <v>2313017184</v>
      </c>
      <c r="C202" t="str">
        <f>T("친절하기는 얼어 죽을 21화")</f>
        <v>친절하기는 얼어 죽을 21화</v>
      </c>
      <c r="D202" t="str">
        <f>T("22")</f>
        <v>22</v>
      </c>
      <c r="E202" t="str">
        <f t="shared" si="31"/>
        <v>솜목화</v>
      </c>
      <c r="H202" t="str">
        <f t="shared" si="32"/>
        <v>블레슈</v>
      </c>
      <c r="I202" t="str">
        <f t="shared" si="33"/>
        <v>친절하기는 얼어 죽을</v>
      </c>
      <c r="J202">
        <v>100</v>
      </c>
      <c r="K202">
        <v>7800</v>
      </c>
      <c r="L202">
        <v>78</v>
      </c>
      <c r="M202">
        <v>0</v>
      </c>
      <c r="N202">
        <v>500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8300</v>
      </c>
      <c r="AH202">
        <v>83</v>
      </c>
      <c r="AI202">
        <v>0</v>
      </c>
      <c r="AJ202">
        <v>0</v>
      </c>
      <c r="AK202">
        <v>8200</v>
      </c>
      <c r="AL202">
        <v>0</v>
      </c>
      <c r="AM202">
        <v>120</v>
      </c>
      <c r="AN202">
        <v>-36</v>
      </c>
      <c r="AO202">
        <v>0</v>
      </c>
      <c r="AP202">
        <v>4970.3999999999996</v>
      </c>
      <c r="AR202" t="str">
        <f t="shared" si="34"/>
        <v>0000000000000</v>
      </c>
      <c r="AT202" t="str">
        <f t="shared" si="35"/>
        <v>9791137604131</v>
      </c>
      <c r="AV202" t="str">
        <f t="shared" si="36"/>
        <v>로맨스 웹소설 &gt; 현대물</v>
      </c>
    </row>
    <row r="203" spans="1:48" x14ac:dyDescent="0.4">
      <c r="A203">
        <v>2313017163</v>
      </c>
      <c r="B203">
        <v>2313017189</v>
      </c>
      <c r="C203" t="str">
        <f>T("친절하기는 얼어 죽을 26화")</f>
        <v>친절하기는 얼어 죽을 26화</v>
      </c>
      <c r="D203" t="str">
        <f>T("27")</f>
        <v>27</v>
      </c>
      <c r="E203" t="str">
        <f t="shared" si="31"/>
        <v>솜목화</v>
      </c>
      <c r="H203" t="str">
        <f t="shared" si="32"/>
        <v>블레슈</v>
      </c>
      <c r="I203" t="str">
        <f t="shared" si="33"/>
        <v>친절하기는 얼어 죽을</v>
      </c>
      <c r="J203">
        <v>100</v>
      </c>
      <c r="K203">
        <v>7800</v>
      </c>
      <c r="L203">
        <v>78</v>
      </c>
      <c r="M203">
        <v>0</v>
      </c>
      <c r="N203">
        <v>200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8000</v>
      </c>
      <c r="AH203">
        <v>80</v>
      </c>
      <c r="AI203">
        <v>0</v>
      </c>
      <c r="AJ203">
        <v>0</v>
      </c>
      <c r="AK203">
        <v>7900</v>
      </c>
      <c r="AL203">
        <v>0</v>
      </c>
      <c r="AM203">
        <v>120</v>
      </c>
      <c r="AN203">
        <v>-36</v>
      </c>
      <c r="AO203">
        <v>0</v>
      </c>
      <c r="AP203">
        <v>4790.3999999999996</v>
      </c>
      <c r="AR203" t="str">
        <f t="shared" si="34"/>
        <v>0000000000000</v>
      </c>
      <c r="AT203" t="str">
        <f t="shared" si="35"/>
        <v>9791137604131</v>
      </c>
      <c r="AV203" t="str">
        <f t="shared" si="36"/>
        <v>로맨스 웹소설 &gt; 현대물</v>
      </c>
    </row>
    <row r="204" spans="1:48" x14ac:dyDescent="0.4">
      <c r="A204">
        <v>2313017062</v>
      </c>
      <c r="B204">
        <v>2313017060</v>
      </c>
      <c r="C204" t="str">
        <f>T("[e북]6번가 장미 (외전증보판) (외전)")</f>
        <v>[e북]6번가 장미 (외전증보판) (외전)</v>
      </c>
      <c r="D204" t="str">
        <f>T("3")</f>
        <v>3</v>
      </c>
      <c r="E204" t="str">
        <f>T("탁윤")</f>
        <v>탁윤</v>
      </c>
      <c r="H204" t="str">
        <f>T("도서출판 태랑")</f>
        <v>도서출판 태랑</v>
      </c>
      <c r="I204" t="str">
        <f>T("[e북]6번가 장미 (외전증보판)")</f>
        <v>[e북]6번가 장미 (외전증보판)</v>
      </c>
      <c r="J204">
        <v>700</v>
      </c>
      <c r="K204">
        <v>7700</v>
      </c>
      <c r="L204">
        <v>11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-700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7700</v>
      </c>
      <c r="AH204">
        <v>11</v>
      </c>
      <c r="AI204">
        <v>-700</v>
      </c>
      <c r="AJ204">
        <v>1</v>
      </c>
      <c r="AK204">
        <v>7700</v>
      </c>
      <c r="AL204">
        <v>-700</v>
      </c>
      <c r="AM204">
        <v>0</v>
      </c>
      <c r="AN204">
        <v>0</v>
      </c>
      <c r="AO204">
        <v>0</v>
      </c>
      <c r="AP204">
        <v>4900</v>
      </c>
      <c r="AT204" t="str">
        <f>T("9791164370566")</f>
        <v>9791164370566</v>
      </c>
      <c r="AV204" t="str">
        <f>T("BL 소설 e북 &gt; 현대물")</f>
        <v>BL 소설 e북 &gt; 현대물</v>
      </c>
    </row>
    <row r="205" spans="1:48" x14ac:dyDescent="0.4">
      <c r="A205">
        <v>2313017163</v>
      </c>
      <c r="B205">
        <v>2313017182</v>
      </c>
      <c r="C205" t="str">
        <f>T("친절하기는 얼어 죽을 19화")</f>
        <v>친절하기는 얼어 죽을 19화</v>
      </c>
      <c r="D205" t="str">
        <f>T("20")</f>
        <v>20</v>
      </c>
      <c r="E205" t="str">
        <f>T("솜목화")</f>
        <v>솜목화</v>
      </c>
      <c r="H205" t="str">
        <f>T("블레슈")</f>
        <v>블레슈</v>
      </c>
      <c r="I205" t="str">
        <f>T("친절하기는 얼어 죽을")</f>
        <v>친절하기는 얼어 죽을</v>
      </c>
      <c r="J205">
        <v>100</v>
      </c>
      <c r="K205">
        <v>7700</v>
      </c>
      <c r="L205">
        <v>77</v>
      </c>
      <c r="M205">
        <v>0</v>
      </c>
      <c r="N205">
        <v>400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8100</v>
      </c>
      <c r="AH205">
        <v>81</v>
      </c>
      <c r="AI205">
        <v>0</v>
      </c>
      <c r="AJ205">
        <v>0</v>
      </c>
      <c r="AK205">
        <v>8000</v>
      </c>
      <c r="AL205">
        <v>0</v>
      </c>
      <c r="AM205">
        <v>120</v>
      </c>
      <c r="AN205">
        <v>-36</v>
      </c>
      <c r="AO205">
        <v>0</v>
      </c>
      <c r="AP205">
        <v>4850.3999999999996</v>
      </c>
      <c r="AR205" t="str">
        <f>T("0000000000000")</f>
        <v>0000000000000</v>
      </c>
      <c r="AT205" t="str">
        <f>T("9791137604131")</f>
        <v>9791137604131</v>
      </c>
      <c r="AV205" t="str">
        <f>T("로맨스 웹소설 &gt; 현대물")</f>
        <v>로맨스 웹소설 &gt; 현대물</v>
      </c>
    </row>
    <row r="206" spans="1:48" x14ac:dyDescent="0.4">
      <c r="A206">
        <v>2313017163</v>
      </c>
      <c r="B206">
        <v>2313017188</v>
      </c>
      <c r="C206" t="str">
        <f>T("친절하기는 얼어 죽을 25화")</f>
        <v>친절하기는 얼어 죽을 25화</v>
      </c>
      <c r="D206" t="str">
        <f>T("26")</f>
        <v>26</v>
      </c>
      <c r="E206" t="str">
        <f>T("솜목화")</f>
        <v>솜목화</v>
      </c>
      <c r="H206" t="str">
        <f>T("블레슈")</f>
        <v>블레슈</v>
      </c>
      <c r="I206" t="str">
        <f>T("친절하기는 얼어 죽을")</f>
        <v>친절하기는 얼어 죽을</v>
      </c>
      <c r="J206">
        <v>100</v>
      </c>
      <c r="K206">
        <v>7700</v>
      </c>
      <c r="L206">
        <v>77</v>
      </c>
      <c r="M206">
        <v>0</v>
      </c>
      <c r="N206">
        <v>300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8000</v>
      </c>
      <c r="AH206">
        <v>80</v>
      </c>
      <c r="AI206">
        <v>0</v>
      </c>
      <c r="AJ206">
        <v>0</v>
      </c>
      <c r="AK206">
        <v>8000</v>
      </c>
      <c r="AL206">
        <v>0</v>
      </c>
      <c r="AM206">
        <v>0</v>
      </c>
      <c r="AN206">
        <v>0</v>
      </c>
      <c r="AO206">
        <v>0</v>
      </c>
      <c r="AP206">
        <v>4800</v>
      </c>
      <c r="AR206" t="str">
        <f>T("0000000000000")</f>
        <v>0000000000000</v>
      </c>
      <c r="AT206" t="str">
        <f>T("9791137604131")</f>
        <v>9791137604131</v>
      </c>
      <c r="AV206" t="str">
        <f>T("로맨스 웹소설 &gt; 현대물")</f>
        <v>로맨스 웹소설 &gt; 현대물</v>
      </c>
    </row>
    <row r="207" spans="1:48" x14ac:dyDescent="0.4">
      <c r="B207">
        <v>2313016838</v>
      </c>
      <c r="C207" t="str">
        <f>T("[e북]개정판 | 사냥 꿈")</f>
        <v>[e북]개정판 | 사냥 꿈</v>
      </c>
      <c r="E207" t="str">
        <f>T("블랙커피")</f>
        <v>블랙커피</v>
      </c>
      <c r="H207" t="str">
        <f>T("도서출판 태랑")</f>
        <v>도서출판 태랑</v>
      </c>
      <c r="J207">
        <v>3800</v>
      </c>
      <c r="K207">
        <v>7600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7600</v>
      </c>
      <c r="AH207">
        <v>2</v>
      </c>
      <c r="AI207">
        <v>0</v>
      </c>
      <c r="AJ207">
        <v>0</v>
      </c>
      <c r="AK207">
        <v>7600</v>
      </c>
      <c r="AL207">
        <v>0</v>
      </c>
      <c r="AM207">
        <v>0</v>
      </c>
      <c r="AN207">
        <v>0</v>
      </c>
      <c r="AO207">
        <v>0</v>
      </c>
      <c r="AP207">
        <v>5320</v>
      </c>
      <c r="AT207" t="str">
        <f>T("9791164375028")</f>
        <v>9791164375028</v>
      </c>
      <c r="AV207" t="str">
        <f>T("BL 소설 e북 &gt; 현대물")</f>
        <v>BL 소설 e북 &gt; 현대물</v>
      </c>
    </row>
    <row r="208" spans="1:48" x14ac:dyDescent="0.4">
      <c r="A208">
        <v>2313017163</v>
      </c>
      <c r="B208">
        <v>2313017192</v>
      </c>
      <c r="C208" t="str">
        <f>T("친절하기는 얼어 죽을 29화")</f>
        <v>친절하기는 얼어 죽을 29화</v>
      </c>
      <c r="D208" t="str">
        <f>T("30")</f>
        <v>30</v>
      </c>
      <c r="E208" t="str">
        <f>T("솜목화")</f>
        <v>솜목화</v>
      </c>
      <c r="H208" t="str">
        <f>T("블레슈")</f>
        <v>블레슈</v>
      </c>
      <c r="I208" t="str">
        <f>T("친절하기는 얼어 죽을")</f>
        <v>친절하기는 얼어 죽을</v>
      </c>
      <c r="J208">
        <v>100</v>
      </c>
      <c r="K208">
        <v>7600</v>
      </c>
      <c r="L208">
        <v>76</v>
      </c>
      <c r="M208">
        <v>0</v>
      </c>
      <c r="N208">
        <v>100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7700</v>
      </c>
      <c r="AH208">
        <v>77</v>
      </c>
      <c r="AI208">
        <v>0</v>
      </c>
      <c r="AJ208">
        <v>0</v>
      </c>
      <c r="AK208">
        <v>7600</v>
      </c>
      <c r="AL208">
        <v>0</v>
      </c>
      <c r="AM208">
        <v>120</v>
      </c>
      <c r="AN208">
        <v>-36</v>
      </c>
      <c r="AO208">
        <v>0</v>
      </c>
      <c r="AP208">
        <v>4610.3999999999996</v>
      </c>
      <c r="AR208" t="str">
        <f>T("0000000000000")</f>
        <v>0000000000000</v>
      </c>
      <c r="AT208" t="str">
        <f>T("9791137604131")</f>
        <v>9791137604131</v>
      </c>
      <c r="AV208" t="str">
        <f>T("로맨스 웹소설 &gt; 현대물")</f>
        <v>로맨스 웹소설 &gt; 현대물</v>
      </c>
    </row>
    <row r="209" spans="1:49" x14ac:dyDescent="0.4">
      <c r="A209">
        <v>2313017163</v>
      </c>
      <c r="B209">
        <v>2313017181</v>
      </c>
      <c r="C209" t="str">
        <f>T("친절하기는 얼어 죽을 18화")</f>
        <v>친절하기는 얼어 죽을 18화</v>
      </c>
      <c r="D209" t="str">
        <f>T("19")</f>
        <v>19</v>
      </c>
      <c r="E209" t="str">
        <f>T("솜목화")</f>
        <v>솜목화</v>
      </c>
      <c r="H209" t="str">
        <f>T("블레슈")</f>
        <v>블레슈</v>
      </c>
      <c r="I209" t="str">
        <f>T("친절하기는 얼어 죽을")</f>
        <v>친절하기는 얼어 죽을</v>
      </c>
      <c r="J209">
        <v>100</v>
      </c>
      <c r="K209">
        <v>7500</v>
      </c>
      <c r="L209">
        <v>75</v>
      </c>
      <c r="M209">
        <v>0</v>
      </c>
      <c r="N209">
        <v>200</v>
      </c>
      <c r="O209">
        <v>2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7700</v>
      </c>
      <c r="AH209">
        <v>79</v>
      </c>
      <c r="AI209">
        <v>0</v>
      </c>
      <c r="AJ209">
        <v>0</v>
      </c>
      <c r="AK209">
        <v>7600</v>
      </c>
      <c r="AL209">
        <v>0</v>
      </c>
      <c r="AM209">
        <v>120</v>
      </c>
      <c r="AN209">
        <v>-36</v>
      </c>
      <c r="AO209">
        <v>0</v>
      </c>
      <c r="AP209">
        <v>4610.3999999999996</v>
      </c>
      <c r="AR209" t="str">
        <f>T("0000000000000")</f>
        <v>0000000000000</v>
      </c>
      <c r="AT209" t="str">
        <f>T("9791137604131")</f>
        <v>9791137604131</v>
      </c>
      <c r="AV209" t="str">
        <f>T("로맨스 웹소설 &gt; 현대물")</f>
        <v>로맨스 웹소설 &gt; 현대물</v>
      </c>
    </row>
    <row r="210" spans="1:49" x14ac:dyDescent="0.4">
      <c r="A210">
        <v>2313017163</v>
      </c>
      <c r="B210">
        <v>2313017190</v>
      </c>
      <c r="C210" t="str">
        <f>T("친절하기는 얼어 죽을 27화")</f>
        <v>친절하기는 얼어 죽을 27화</v>
      </c>
      <c r="D210" t="str">
        <f>T("28")</f>
        <v>28</v>
      </c>
      <c r="E210" t="str">
        <f>T("솜목화")</f>
        <v>솜목화</v>
      </c>
      <c r="H210" t="str">
        <f>T("블레슈")</f>
        <v>블레슈</v>
      </c>
      <c r="I210" t="str">
        <f>T("친절하기는 얼어 죽을")</f>
        <v>친절하기는 얼어 죽을</v>
      </c>
      <c r="J210">
        <v>100</v>
      </c>
      <c r="K210">
        <v>7500</v>
      </c>
      <c r="L210">
        <v>75</v>
      </c>
      <c r="M210">
        <v>0</v>
      </c>
      <c r="N210">
        <v>100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7600</v>
      </c>
      <c r="AH210">
        <v>76</v>
      </c>
      <c r="AI210">
        <v>0</v>
      </c>
      <c r="AJ210">
        <v>0</v>
      </c>
      <c r="AK210">
        <v>7500</v>
      </c>
      <c r="AL210">
        <v>0</v>
      </c>
      <c r="AM210">
        <v>120</v>
      </c>
      <c r="AN210">
        <v>-36</v>
      </c>
      <c r="AO210">
        <v>0</v>
      </c>
      <c r="AP210">
        <v>4550.3999999999996</v>
      </c>
      <c r="AR210" t="str">
        <f>T("0000000000000")</f>
        <v>0000000000000</v>
      </c>
      <c r="AT210" t="str">
        <f>T("9791137604131")</f>
        <v>9791137604131</v>
      </c>
      <c r="AV210" t="str">
        <f>T("로맨스 웹소설 &gt; 현대물")</f>
        <v>로맨스 웹소설 &gt; 현대물</v>
      </c>
    </row>
    <row r="211" spans="1:49" x14ac:dyDescent="0.4">
      <c r="A211">
        <v>2313017657</v>
      </c>
      <c r="B211">
        <v>2313017683</v>
      </c>
      <c r="C211" t="str">
        <f>T("회귀자의 슬기로운 복수생활 27화")</f>
        <v>회귀자의 슬기로운 복수생활 27화</v>
      </c>
      <c r="D211" t="str">
        <f>T("27")</f>
        <v>27</v>
      </c>
      <c r="E211" t="str">
        <f>T("구공")</f>
        <v>구공</v>
      </c>
      <c r="H211" t="str">
        <f>T("스토리위즈")</f>
        <v>스토리위즈</v>
      </c>
      <c r="I211" t="str">
        <f>T("회귀자의 슬기로운 복수생활")</f>
        <v>회귀자의 슬기로운 복수생활</v>
      </c>
      <c r="J211">
        <v>100</v>
      </c>
      <c r="K211">
        <v>7500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7500</v>
      </c>
      <c r="AH211">
        <v>75</v>
      </c>
      <c r="AI211">
        <v>0</v>
      </c>
      <c r="AJ211">
        <v>0</v>
      </c>
      <c r="AK211">
        <v>7500</v>
      </c>
      <c r="AL211">
        <v>0</v>
      </c>
      <c r="AM211">
        <v>0</v>
      </c>
      <c r="AN211">
        <v>0</v>
      </c>
      <c r="AO211">
        <v>0</v>
      </c>
      <c r="AP211">
        <v>5250</v>
      </c>
      <c r="AT211" t="str">
        <f>T("9791137601710")</f>
        <v>9791137601710</v>
      </c>
      <c r="AV211" t="str">
        <f>T("판타지 웹소설 &gt; 퓨전 판타지")</f>
        <v>판타지 웹소설 &gt; 퓨전 판타지</v>
      </c>
    </row>
    <row r="212" spans="1:49" x14ac:dyDescent="0.4">
      <c r="A212">
        <v>2313017163</v>
      </c>
      <c r="B212">
        <v>2313017191</v>
      </c>
      <c r="C212" t="str">
        <f>T("친절하기는 얼어 죽을 28화")</f>
        <v>친절하기는 얼어 죽을 28화</v>
      </c>
      <c r="D212" t="str">
        <f>T("29")</f>
        <v>29</v>
      </c>
      <c r="E212" t="str">
        <f>T("솜목화")</f>
        <v>솜목화</v>
      </c>
      <c r="H212" t="str">
        <f>T("블레슈")</f>
        <v>블레슈</v>
      </c>
      <c r="I212" t="str">
        <f>T("친절하기는 얼어 죽을")</f>
        <v>친절하기는 얼어 죽을</v>
      </c>
      <c r="J212">
        <v>100</v>
      </c>
      <c r="K212">
        <v>7400</v>
      </c>
      <c r="L212">
        <v>74</v>
      </c>
      <c r="M212">
        <v>0</v>
      </c>
      <c r="N212">
        <v>100</v>
      </c>
      <c r="O212">
        <v>1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7500</v>
      </c>
      <c r="AH212">
        <v>77</v>
      </c>
      <c r="AI212">
        <v>0</v>
      </c>
      <c r="AJ212">
        <v>0</v>
      </c>
      <c r="AK212">
        <v>7400</v>
      </c>
      <c r="AL212">
        <v>0</v>
      </c>
      <c r="AM212">
        <v>120</v>
      </c>
      <c r="AN212">
        <v>-36</v>
      </c>
      <c r="AO212">
        <v>0</v>
      </c>
      <c r="AP212">
        <v>4490.3999999999996</v>
      </c>
      <c r="AR212" t="str">
        <f>T("0000000000000")</f>
        <v>0000000000000</v>
      </c>
      <c r="AT212" t="str">
        <f>T("9791137604131")</f>
        <v>9791137604131</v>
      </c>
      <c r="AV212" t="str">
        <f>T("로맨스 웹소설 &gt; 현대물")</f>
        <v>로맨스 웹소설 &gt; 현대물</v>
      </c>
    </row>
    <row r="213" spans="1:49" x14ac:dyDescent="0.4">
      <c r="A213">
        <v>2313017163</v>
      </c>
      <c r="B213">
        <v>2313017193</v>
      </c>
      <c r="C213" t="str">
        <f>T("친절하기는 얼어 죽을 30화")</f>
        <v>친절하기는 얼어 죽을 30화</v>
      </c>
      <c r="D213" t="str">
        <f>T("31")</f>
        <v>31</v>
      </c>
      <c r="E213" t="str">
        <f>T("솜목화")</f>
        <v>솜목화</v>
      </c>
      <c r="H213" t="str">
        <f>T("블레슈")</f>
        <v>블레슈</v>
      </c>
      <c r="I213" t="str">
        <f>T("친절하기는 얼어 죽을")</f>
        <v>친절하기는 얼어 죽을</v>
      </c>
      <c r="J213">
        <v>100</v>
      </c>
      <c r="K213">
        <v>7400</v>
      </c>
      <c r="L213">
        <v>74</v>
      </c>
      <c r="M213">
        <v>0</v>
      </c>
      <c r="N213">
        <v>100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7500</v>
      </c>
      <c r="AH213">
        <v>75</v>
      </c>
      <c r="AI213">
        <v>0</v>
      </c>
      <c r="AJ213">
        <v>0</v>
      </c>
      <c r="AK213">
        <v>7400</v>
      </c>
      <c r="AL213">
        <v>0</v>
      </c>
      <c r="AM213">
        <v>120</v>
      </c>
      <c r="AN213">
        <v>-36</v>
      </c>
      <c r="AO213">
        <v>0</v>
      </c>
      <c r="AP213">
        <v>4490.3999999999996</v>
      </c>
      <c r="AR213" t="str">
        <f>T("0000000000000")</f>
        <v>0000000000000</v>
      </c>
      <c r="AT213" t="str">
        <f>T("9791137604131")</f>
        <v>9791137604131</v>
      </c>
      <c r="AV213" t="str">
        <f>T("로맨스 웹소설 &gt; 현대물")</f>
        <v>로맨스 웹소설 &gt; 현대물</v>
      </c>
    </row>
    <row r="214" spans="1:49" x14ac:dyDescent="0.4">
      <c r="A214">
        <v>2313017163</v>
      </c>
      <c r="B214">
        <v>2313017198</v>
      </c>
      <c r="C214" t="str">
        <f>T("친절하기는 얼어 죽을 35화")</f>
        <v>친절하기는 얼어 죽을 35화</v>
      </c>
      <c r="D214" t="str">
        <f>T("36")</f>
        <v>36</v>
      </c>
      <c r="E214" t="str">
        <f>T("솜목화")</f>
        <v>솜목화</v>
      </c>
      <c r="H214" t="str">
        <f>T("블레슈")</f>
        <v>블레슈</v>
      </c>
      <c r="I214" t="str">
        <f>T("친절하기는 얼어 죽을")</f>
        <v>친절하기는 얼어 죽을</v>
      </c>
      <c r="J214">
        <v>100</v>
      </c>
      <c r="K214">
        <v>7300</v>
      </c>
      <c r="L214">
        <v>73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7300</v>
      </c>
      <c r="AH214">
        <v>73</v>
      </c>
      <c r="AI214">
        <v>0</v>
      </c>
      <c r="AJ214">
        <v>0</v>
      </c>
      <c r="AK214">
        <v>7210</v>
      </c>
      <c r="AL214">
        <v>0</v>
      </c>
      <c r="AM214">
        <v>108</v>
      </c>
      <c r="AN214">
        <v>-32.4</v>
      </c>
      <c r="AO214">
        <v>0</v>
      </c>
      <c r="AP214">
        <v>4371.3599999999997</v>
      </c>
      <c r="AR214" t="str">
        <f>T("0000000000000")</f>
        <v>0000000000000</v>
      </c>
      <c r="AT214" t="str">
        <f>T("9791137604131")</f>
        <v>9791137604131</v>
      </c>
      <c r="AV214" t="str">
        <f>T("로맨스 웹소설 &gt; 현대물")</f>
        <v>로맨스 웹소설 &gt; 현대물</v>
      </c>
    </row>
    <row r="215" spans="1:49" x14ac:dyDescent="0.4">
      <c r="A215">
        <v>2313016834</v>
      </c>
      <c r="B215">
        <v>2313016833</v>
      </c>
      <c r="C215" t="str">
        <f>T("[e북]우리야, 이리온 (외전증보판) 2권")</f>
        <v>[e북]우리야, 이리온 (외전증보판) 2권</v>
      </c>
      <c r="D215" t="str">
        <f>T("2")</f>
        <v>2</v>
      </c>
      <c r="E215" t="str">
        <f>T("김온별(러브마인)")</f>
        <v>김온별(러브마인)</v>
      </c>
      <c r="H215" t="str">
        <f>T("도서출판 태랑")</f>
        <v>도서출판 태랑</v>
      </c>
      <c r="I215" t="str">
        <f>T("[e북]우리야, 이리온 (외전증보판)")</f>
        <v>[e북]우리야, 이리온 (외전증보판)</v>
      </c>
      <c r="J215">
        <v>3600</v>
      </c>
      <c r="K215">
        <v>7200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7200</v>
      </c>
      <c r="AH215">
        <v>2</v>
      </c>
      <c r="AI215">
        <v>0</v>
      </c>
      <c r="AJ215">
        <v>0</v>
      </c>
      <c r="AK215">
        <v>7200</v>
      </c>
      <c r="AL215">
        <v>0</v>
      </c>
      <c r="AM215">
        <v>0</v>
      </c>
      <c r="AN215">
        <v>0</v>
      </c>
      <c r="AO215">
        <v>0</v>
      </c>
      <c r="AP215">
        <v>5040</v>
      </c>
      <c r="AT215" t="str">
        <f>T("9791164374946")</f>
        <v>9791164374946</v>
      </c>
      <c r="AV215" t="str">
        <f>T("로맨스 e북 &gt; 현대물")</f>
        <v>로맨스 e북 &gt; 현대물</v>
      </c>
      <c r="AW215" t="str">
        <f>T("로맨스 e북 &gt; 19+")</f>
        <v>로맨스 e북 &gt; 19+</v>
      </c>
    </row>
    <row r="216" spans="1:49" x14ac:dyDescent="0.4">
      <c r="A216">
        <v>2313016897</v>
      </c>
      <c r="B216">
        <v>2313016896</v>
      </c>
      <c r="C216" t="str">
        <f>T("[e북]선택된 남자 2권 (완결)")</f>
        <v>[e북]선택된 남자 2권 (완결)</v>
      </c>
      <c r="D216" t="str">
        <f>T("2")</f>
        <v>2</v>
      </c>
      <c r="E216" t="str">
        <f>T("모리미")</f>
        <v>모리미</v>
      </c>
      <c r="H216" t="str">
        <f>T("도서출판 태랑")</f>
        <v>도서출판 태랑</v>
      </c>
      <c r="I216" t="str">
        <f>T("[e북]선택된 남자")</f>
        <v>[e북]선택된 남자</v>
      </c>
      <c r="J216">
        <v>2400</v>
      </c>
      <c r="K216">
        <v>7200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7200</v>
      </c>
      <c r="AH216">
        <v>3</v>
      </c>
      <c r="AI216">
        <v>0</v>
      </c>
      <c r="AJ216">
        <v>0</v>
      </c>
      <c r="AK216">
        <v>7200</v>
      </c>
      <c r="AL216">
        <v>0</v>
      </c>
      <c r="AM216">
        <v>0</v>
      </c>
      <c r="AN216">
        <v>0</v>
      </c>
      <c r="AO216">
        <v>0</v>
      </c>
      <c r="AP216">
        <v>5040</v>
      </c>
      <c r="AT216" t="str">
        <f>T("9791164374175")</f>
        <v>9791164374175</v>
      </c>
      <c r="AV216" t="str">
        <f>T("BL 소설 e북 &gt; 현대물")</f>
        <v>BL 소설 e북 &gt; 현대물</v>
      </c>
    </row>
    <row r="217" spans="1:49" x14ac:dyDescent="0.4">
      <c r="A217">
        <v>2313017117</v>
      </c>
      <c r="B217">
        <v>2313017113</v>
      </c>
      <c r="C217" t="str">
        <f>T("[e북]봄나물 (Rookie) (외전)")</f>
        <v>[e북]봄나물 (Rookie) (외전)</v>
      </c>
      <c r="D217" t="str">
        <f>T("5")</f>
        <v>5</v>
      </c>
      <c r="E217" t="str">
        <f>T("발상")</f>
        <v>발상</v>
      </c>
      <c r="H217" t="str">
        <f>T("도서출판 태랑")</f>
        <v>도서출판 태랑</v>
      </c>
      <c r="I217" t="str">
        <f>T("[e북]봄나물(Rookie)")</f>
        <v>[e북]봄나물(Rookie)</v>
      </c>
      <c r="J217">
        <v>2400</v>
      </c>
      <c r="K217">
        <v>7200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7200</v>
      </c>
      <c r="AH217">
        <v>3</v>
      </c>
      <c r="AI217">
        <v>0</v>
      </c>
      <c r="AJ217">
        <v>0</v>
      </c>
      <c r="AK217">
        <v>7200</v>
      </c>
      <c r="AL217">
        <v>0</v>
      </c>
      <c r="AM217">
        <v>0</v>
      </c>
      <c r="AN217">
        <v>0</v>
      </c>
      <c r="AO217">
        <v>0</v>
      </c>
      <c r="AP217">
        <v>5040</v>
      </c>
      <c r="AT217" t="str">
        <f>T("9791189627546")</f>
        <v>9791189627546</v>
      </c>
      <c r="AV217" t="str">
        <f>T("BL 소설 e북 &gt; 현대물")</f>
        <v>BL 소설 e북 &gt; 현대물</v>
      </c>
    </row>
    <row r="218" spans="1:49" x14ac:dyDescent="0.4">
      <c r="A218">
        <v>2313017163</v>
      </c>
      <c r="B218">
        <v>2313017194</v>
      </c>
      <c r="C218" t="str">
        <f>T("친절하기는 얼어 죽을 31화")</f>
        <v>친절하기는 얼어 죽을 31화</v>
      </c>
      <c r="D218" t="str">
        <f>T("32")</f>
        <v>32</v>
      </c>
      <c r="E218" t="str">
        <f>T("솜목화")</f>
        <v>솜목화</v>
      </c>
      <c r="H218" t="str">
        <f>T("블레슈")</f>
        <v>블레슈</v>
      </c>
      <c r="I218" t="str">
        <f>T("친절하기는 얼어 죽을")</f>
        <v>친절하기는 얼어 죽을</v>
      </c>
      <c r="J218">
        <v>100</v>
      </c>
      <c r="K218">
        <v>7200</v>
      </c>
      <c r="L218">
        <v>72</v>
      </c>
      <c r="M218">
        <v>0</v>
      </c>
      <c r="N218">
        <v>100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7300</v>
      </c>
      <c r="AH218">
        <v>73</v>
      </c>
      <c r="AI218">
        <v>0</v>
      </c>
      <c r="AJ218">
        <v>0</v>
      </c>
      <c r="AK218">
        <v>7210</v>
      </c>
      <c r="AL218">
        <v>0</v>
      </c>
      <c r="AM218">
        <v>108</v>
      </c>
      <c r="AN218">
        <v>-32.4</v>
      </c>
      <c r="AO218">
        <v>0</v>
      </c>
      <c r="AP218">
        <v>4371.3599999999997</v>
      </c>
      <c r="AR218" t="str">
        <f>T("0000000000000")</f>
        <v>0000000000000</v>
      </c>
      <c r="AT218" t="str">
        <f>T("9791137604131")</f>
        <v>9791137604131</v>
      </c>
      <c r="AV218" t="str">
        <f>T("로맨스 웹소설 &gt; 현대물")</f>
        <v>로맨스 웹소설 &gt; 현대물</v>
      </c>
    </row>
    <row r="219" spans="1:49" x14ac:dyDescent="0.4">
      <c r="A219">
        <v>2313017163</v>
      </c>
      <c r="B219">
        <v>2313017196</v>
      </c>
      <c r="C219" t="str">
        <f>T("친절하기는 얼어 죽을 33화")</f>
        <v>친절하기는 얼어 죽을 33화</v>
      </c>
      <c r="D219" t="str">
        <f>T("34")</f>
        <v>34</v>
      </c>
      <c r="E219" t="str">
        <f>T("솜목화")</f>
        <v>솜목화</v>
      </c>
      <c r="H219" t="str">
        <f>T("블레슈")</f>
        <v>블레슈</v>
      </c>
      <c r="I219" t="str">
        <f>T("친절하기는 얼어 죽을")</f>
        <v>친절하기는 얼어 죽을</v>
      </c>
      <c r="J219">
        <v>100</v>
      </c>
      <c r="K219">
        <v>7200</v>
      </c>
      <c r="L219">
        <v>72</v>
      </c>
      <c r="M219">
        <v>0</v>
      </c>
      <c r="N219">
        <v>100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7300</v>
      </c>
      <c r="AH219">
        <v>73</v>
      </c>
      <c r="AI219">
        <v>0</v>
      </c>
      <c r="AJ219">
        <v>0</v>
      </c>
      <c r="AK219">
        <v>7210</v>
      </c>
      <c r="AL219">
        <v>0</v>
      </c>
      <c r="AM219">
        <v>108</v>
      </c>
      <c r="AN219">
        <v>-32.4</v>
      </c>
      <c r="AO219">
        <v>0</v>
      </c>
      <c r="AP219">
        <v>4371.3599999999997</v>
      </c>
      <c r="AR219" t="str">
        <f>T("0000000000000")</f>
        <v>0000000000000</v>
      </c>
      <c r="AT219" t="str">
        <f>T("9791137604131")</f>
        <v>9791137604131</v>
      </c>
      <c r="AV219" t="str">
        <f>T("로맨스 웹소설 &gt; 현대물")</f>
        <v>로맨스 웹소설 &gt; 현대물</v>
      </c>
    </row>
    <row r="220" spans="1:49" x14ac:dyDescent="0.4">
      <c r="A220">
        <v>2313017657</v>
      </c>
      <c r="B220">
        <v>2313017684</v>
      </c>
      <c r="C220" t="str">
        <f>T("회귀자의 슬기로운 복수생활 28화")</f>
        <v>회귀자의 슬기로운 복수생활 28화</v>
      </c>
      <c r="D220" t="str">
        <f>T("28")</f>
        <v>28</v>
      </c>
      <c r="E220" t="str">
        <f>T("구공")</f>
        <v>구공</v>
      </c>
      <c r="H220" t="str">
        <f>T("스토리위즈")</f>
        <v>스토리위즈</v>
      </c>
      <c r="I220" t="str">
        <f>T("회귀자의 슬기로운 복수생활")</f>
        <v>회귀자의 슬기로운 복수생활</v>
      </c>
      <c r="J220">
        <v>100</v>
      </c>
      <c r="K220">
        <v>7200</v>
      </c>
      <c r="L220">
        <v>72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7200</v>
      </c>
      <c r="AH220">
        <v>72</v>
      </c>
      <c r="AI220">
        <v>0</v>
      </c>
      <c r="AJ220">
        <v>0</v>
      </c>
      <c r="AK220">
        <v>7200</v>
      </c>
      <c r="AL220">
        <v>0</v>
      </c>
      <c r="AM220">
        <v>0</v>
      </c>
      <c r="AN220">
        <v>0</v>
      </c>
      <c r="AO220">
        <v>0</v>
      </c>
      <c r="AP220">
        <v>5040</v>
      </c>
      <c r="AT220" t="str">
        <f>T("9791137601710")</f>
        <v>9791137601710</v>
      </c>
      <c r="AV220" t="str">
        <f>T("판타지 웹소설 &gt; 퓨전 판타지")</f>
        <v>판타지 웹소설 &gt; 퓨전 판타지</v>
      </c>
    </row>
    <row r="221" spans="1:49" x14ac:dyDescent="0.4">
      <c r="A221">
        <v>2313017657</v>
      </c>
      <c r="B221">
        <v>2313017685</v>
      </c>
      <c r="C221" t="str">
        <f>T("회귀자의 슬기로운 복수생활 29화")</f>
        <v>회귀자의 슬기로운 복수생활 29화</v>
      </c>
      <c r="D221" t="str">
        <f>T("29")</f>
        <v>29</v>
      </c>
      <c r="E221" t="str">
        <f>T("구공")</f>
        <v>구공</v>
      </c>
      <c r="H221" t="str">
        <f>T("스토리위즈")</f>
        <v>스토리위즈</v>
      </c>
      <c r="I221" t="str">
        <f>T("회귀자의 슬기로운 복수생활")</f>
        <v>회귀자의 슬기로운 복수생활</v>
      </c>
      <c r="J221">
        <v>100</v>
      </c>
      <c r="K221">
        <v>7200</v>
      </c>
      <c r="L221">
        <v>72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7200</v>
      </c>
      <c r="AH221">
        <v>72</v>
      </c>
      <c r="AI221">
        <v>0</v>
      </c>
      <c r="AJ221">
        <v>0</v>
      </c>
      <c r="AK221">
        <v>7200</v>
      </c>
      <c r="AL221">
        <v>0</v>
      </c>
      <c r="AM221">
        <v>0</v>
      </c>
      <c r="AN221">
        <v>0</v>
      </c>
      <c r="AO221">
        <v>0</v>
      </c>
      <c r="AP221">
        <v>5040</v>
      </c>
      <c r="AT221" t="str">
        <f>T("9791137601710")</f>
        <v>9791137601710</v>
      </c>
      <c r="AV221" t="str">
        <f>T("판타지 웹소설 &gt; 퓨전 판타지")</f>
        <v>판타지 웹소설 &gt; 퓨전 판타지</v>
      </c>
    </row>
    <row r="222" spans="1:49" x14ac:dyDescent="0.4">
      <c r="A222">
        <v>2313017163</v>
      </c>
      <c r="B222">
        <v>2313017197</v>
      </c>
      <c r="C222" t="str">
        <f>T("친절하기는 얼어 죽을 34화")</f>
        <v>친절하기는 얼어 죽을 34화</v>
      </c>
      <c r="D222" t="str">
        <f>T("35")</f>
        <v>35</v>
      </c>
      <c r="E222" t="str">
        <f>T("솜목화")</f>
        <v>솜목화</v>
      </c>
      <c r="H222" t="str">
        <f>T("블레슈")</f>
        <v>블레슈</v>
      </c>
      <c r="I222" t="str">
        <f>T("친절하기는 얼어 죽을")</f>
        <v>친절하기는 얼어 죽을</v>
      </c>
      <c r="J222">
        <v>100</v>
      </c>
      <c r="K222">
        <v>7100</v>
      </c>
      <c r="L222">
        <v>71</v>
      </c>
      <c r="M222">
        <v>0</v>
      </c>
      <c r="N222">
        <v>100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7200</v>
      </c>
      <c r="AH222">
        <v>72</v>
      </c>
      <c r="AI222">
        <v>0</v>
      </c>
      <c r="AJ222">
        <v>0</v>
      </c>
      <c r="AK222">
        <v>7110</v>
      </c>
      <c r="AL222">
        <v>0</v>
      </c>
      <c r="AM222">
        <v>108</v>
      </c>
      <c r="AN222">
        <v>-32.4</v>
      </c>
      <c r="AO222">
        <v>0</v>
      </c>
      <c r="AP222">
        <v>4311.3599999999997</v>
      </c>
      <c r="AR222" t="str">
        <f>T("0000000000000")</f>
        <v>0000000000000</v>
      </c>
      <c r="AT222" t="str">
        <f>T("9791137604131")</f>
        <v>9791137604131</v>
      </c>
      <c r="AV222" t="str">
        <f>T("로맨스 웹소설 &gt; 현대물")</f>
        <v>로맨스 웹소설 &gt; 현대물</v>
      </c>
    </row>
    <row r="223" spans="1:49" x14ac:dyDescent="0.4">
      <c r="A223">
        <v>2313017163</v>
      </c>
      <c r="B223">
        <v>2313017250</v>
      </c>
      <c r="C223" t="str">
        <f>T("친절하기는 얼어 죽을 87화")</f>
        <v>친절하기는 얼어 죽을 87화</v>
      </c>
      <c r="D223" t="str">
        <f>T("88")</f>
        <v>88</v>
      </c>
      <c r="E223" t="str">
        <f>T("솜목화")</f>
        <v>솜목화</v>
      </c>
      <c r="H223" t="str">
        <f>T("블레슈")</f>
        <v>블레슈</v>
      </c>
      <c r="I223" t="str">
        <f>T("친절하기는 얼어 죽을")</f>
        <v>친절하기는 얼어 죽을</v>
      </c>
      <c r="J223">
        <v>100</v>
      </c>
      <c r="K223">
        <v>7100</v>
      </c>
      <c r="L223">
        <v>71</v>
      </c>
      <c r="M223">
        <v>0</v>
      </c>
      <c r="N223">
        <v>5800</v>
      </c>
      <c r="O223">
        <v>58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12900</v>
      </c>
      <c r="AH223">
        <v>130</v>
      </c>
      <c r="AI223">
        <v>0</v>
      </c>
      <c r="AJ223">
        <v>0</v>
      </c>
      <c r="AK223">
        <v>12810</v>
      </c>
      <c r="AL223">
        <v>0</v>
      </c>
      <c r="AM223">
        <v>108</v>
      </c>
      <c r="AN223">
        <v>-32.4</v>
      </c>
      <c r="AO223">
        <v>0</v>
      </c>
      <c r="AP223">
        <v>7731.36</v>
      </c>
      <c r="AR223" t="str">
        <f>T("0000000000000")</f>
        <v>0000000000000</v>
      </c>
      <c r="AT223" t="str">
        <f>T("9791137604131")</f>
        <v>9791137604131</v>
      </c>
      <c r="AV223" t="str">
        <f>T("로맨스 웹소설 &gt; 현대물")</f>
        <v>로맨스 웹소설 &gt; 현대물</v>
      </c>
    </row>
    <row r="224" spans="1:49" x14ac:dyDescent="0.4">
      <c r="A224">
        <v>2313002105</v>
      </c>
      <c r="B224">
        <v>2313002105</v>
      </c>
      <c r="C224" t="str">
        <f>T("[e북]여왕 아델 1권")</f>
        <v>[e북]여왕 아델 1권</v>
      </c>
      <c r="D224" t="str">
        <f>T("1")</f>
        <v>1</v>
      </c>
      <c r="E224" t="str">
        <f>T("이린비")</f>
        <v>이린비</v>
      </c>
      <c r="H224" t="str">
        <f t="shared" ref="H224:H230" si="37">T("스토리위즈")</f>
        <v>스토리위즈</v>
      </c>
      <c r="I224" t="str">
        <f>T("[e북]여왕 아델")</f>
        <v>[e북]여왕 아델</v>
      </c>
      <c r="J224">
        <v>3500</v>
      </c>
      <c r="K224">
        <v>7000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7000</v>
      </c>
      <c r="AH224">
        <v>2</v>
      </c>
      <c r="AI224">
        <v>0</v>
      </c>
      <c r="AJ224">
        <v>0</v>
      </c>
      <c r="AK224">
        <v>7000</v>
      </c>
      <c r="AL224">
        <v>0</v>
      </c>
      <c r="AM224">
        <v>0</v>
      </c>
      <c r="AN224">
        <v>0</v>
      </c>
      <c r="AO224">
        <v>0</v>
      </c>
      <c r="AP224">
        <v>4900</v>
      </c>
      <c r="AR224" t="str">
        <f>T("0000000000000")</f>
        <v>0000000000000</v>
      </c>
      <c r="AT224" t="str">
        <f>T("9791159286773")</f>
        <v>9791159286773</v>
      </c>
      <c r="AV224" t="str">
        <f t="shared" ref="AV224:AV230" si="38">T("로판 e북 &gt; 서양풍 로판")</f>
        <v>로판 e북 &gt; 서양풍 로판</v>
      </c>
    </row>
    <row r="225" spans="1:49" x14ac:dyDescent="0.4">
      <c r="A225">
        <v>2313015987</v>
      </c>
      <c r="B225">
        <v>2313015987</v>
      </c>
      <c r="C225" t="str">
        <f>T("[e북]돌아온 막내 영애님을 조심하세요 1권")</f>
        <v>[e북]돌아온 막내 영애님을 조심하세요 1권</v>
      </c>
      <c r="D225" t="str">
        <f>T("1")</f>
        <v>1</v>
      </c>
      <c r="E225" t="str">
        <f t="shared" ref="E225:E230" si="39">T("윈델")</f>
        <v>윈델</v>
      </c>
      <c r="H225" t="str">
        <f t="shared" si="37"/>
        <v>스토리위즈</v>
      </c>
      <c r="I225" t="str">
        <f t="shared" ref="I225:I230" si="40">T("[e북]돌아온 막내 영애님을 조심하세요")</f>
        <v>[e북]돌아온 막내 영애님을 조심하세요</v>
      </c>
      <c r="J225">
        <v>3500</v>
      </c>
      <c r="K225">
        <v>7000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7000</v>
      </c>
      <c r="AH225">
        <v>2</v>
      </c>
      <c r="AI225">
        <v>0</v>
      </c>
      <c r="AJ225">
        <v>0</v>
      </c>
      <c r="AK225">
        <v>7000</v>
      </c>
      <c r="AL225">
        <v>0</v>
      </c>
      <c r="AM225">
        <v>0</v>
      </c>
      <c r="AN225">
        <v>0</v>
      </c>
      <c r="AO225">
        <v>0</v>
      </c>
      <c r="AP225">
        <v>4900</v>
      </c>
      <c r="AT225" t="str">
        <f>T("9791137603400")</f>
        <v>9791137603400</v>
      </c>
      <c r="AV225" t="str">
        <f t="shared" si="38"/>
        <v>로판 e북 &gt; 서양풍 로판</v>
      </c>
    </row>
    <row r="226" spans="1:49" x14ac:dyDescent="0.4">
      <c r="A226">
        <v>2313015987</v>
      </c>
      <c r="B226">
        <v>2313015988</v>
      </c>
      <c r="C226" t="str">
        <f>T("[e북]돌아온 막내 영애님을 조심하세요 2권")</f>
        <v>[e북]돌아온 막내 영애님을 조심하세요 2권</v>
      </c>
      <c r="D226" t="str">
        <f>T("2")</f>
        <v>2</v>
      </c>
      <c r="E226" t="str">
        <f t="shared" si="39"/>
        <v>윈델</v>
      </c>
      <c r="H226" t="str">
        <f t="shared" si="37"/>
        <v>스토리위즈</v>
      </c>
      <c r="I226" t="str">
        <f t="shared" si="40"/>
        <v>[e북]돌아온 막내 영애님을 조심하세요</v>
      </c>
      <c r="J226">
        <v>3500</v>
      </c>
      <c r="K226">
        <v>7000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7000</v>
      </c>
      <c r="AH226">
        <v>2</v>
      </c>
      <c r="AI226">
        <v>0</v>
      </c>
      <c r="AJ226">
        <v>0</v>
      </c>
      <c r="AK226">
        <v>7000</v>
      </c>
      <c r="AL226">
        <v>0</v>
      </c>
      <c r="AM226">
        <v>0</v>
      </c>
      <c r="AN226">
        <v>0</v>
      </c>
      <c r="AO226">
        <v>0</v>
      </c>
      <c r="AP226">
        <v>4900</v>
      </c>
      <c r="AT226" t="str">
        <f>T("9791137603417")</f>
        <v>9791137603417</v>
      </c>
      <c r="AV226" t="str">
        <f t="shared" si="38"/>
        <v>로판 e북 &gt; 서양풍 로판</v>
      </c>
    </row>
    <row r="227" spans="1:49" x14ac:dyDescent="0.4">
      <c r="A227">
        <v>2313015987</v>
      </c>
      <c r="B227">
        <v>2313015989</v>
      </c>
      <c r="C227" t="str">
        <f>T("[e북]돌아온 막내 영애님을 조심하세요 3권")</f>
        <v>[e북]돌아온 막내 영애님을 조심하세요 3권</v>
      </c>
      <c r="D227" t="str">
        <f>T("3")</f>
        <v>3</v>
      </c>
      <c r="E227" t="str">
        <f t="shared" si="39"/>
        <v>윈델</v>
      </c>
      <c r="H227" t="str">
        <f t="shared" si="37"/>
        <v>스토리위즈</v>
      </c>
      <c r="I227" t="str">
        <f t="shared" si="40"/>
        <v>[e북]돌아온 막내 영애님을 조심하세요</v>
      </c>
      <c r="J227">
        <v>3500</v>
      </c>
      <c r="K227">
        <v>7000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7000</v>
      </c>
      <c r="AH227">
        <v>2</v>
      </c>
      <c r="AI227">
        <v>0</v>
      </c>
      <c r="AJ227">
        <v>0</v>
      </c>
      <c r="AK227">
        <v>7000</v>
      </c>
      <c r="AL227">
        <v>0</v>
      </c>
      <c r="AM227">
        <v>0</v>
      </c>
      <c r="AN227">
        <v>0</v>
      </c>
      <c r="AO227">
        <v>0</v>
      </c>
      <c r="AP227">
        <v>4900</v>
      </c>
      <c r="AT227" t="str">
        <f>T("9791137603424")</f>
        <v>9791137603424</v>
      </c>
      <c r="AV227" t="str">
        <f t="shared" si="38"/>
        <v>로판 e북 &gt; 서양풍 로판</v>
      </c>
    </row>
    <row r="228" spans="1:49" x14ac:dyDescent="0.4">
      <c r="A228">
        <v>2313015987</v>
      </c>
      <c r="B228">
        <v>2313015990</v>
      </c>
      <c r="C228" t="str">
        <f>T("[e북]돌아온 막내 영애님을 조심하세요 4권")</f>
        <v>[e북]돌아온 막내 영애님을 조심하세요 4권</v>
      </c>
      <c r="D228" t="str">
        <f>T("4")</f>
        <v>4</v>
      </c>
      <c r="E228" t="str">
        <f t="shared" si="39"/>
        <v>윈델</v>
      </c>
      <c r="H228" t="str">
        <f t="shared" si="37"/>
        <v>스토리위즈</v>
      </c>
      <c r="I228" t="str">
        <f t="shared" si="40"/>
        <v>[e북]돌아온 막내 영애님을 조심하세요</v>
      </c>
      <c r="J228">
        <v>3500</v>
      </c>
      <c r="K228">
        <v>7000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7000</v>
      </c>
      <c r="AH228">
        <v>2</v>
      </c>
      <c r="AI228">
        <v>0</v>
      </c>
      <c r="AJ228">
        <v>0</v>
      </c>
      <c r="AK228">
        <v>7000</v>
      </c>
      <c r="AL228">
        <v>0</v>
      </c>
      <c r="AM228">
        <v>0</v>
      </c>
      <c r="AN228">
        <v>0</v>
      </c>
      <c r="AO228">
        <v>0</v>
      </c>
      <c r="AP228">
        <v>4900</v>
      </c>
      <c r="AT228" t="str">
        <f>T("9791137603431")</f>
        <v>9791137603431</v>
      </c>
      <c r="AV228" t="str">
        <f t="shared" si="38"/>
        <v>로판 e북 &gt; 서양풍 로판</v>
      </c>
    </row>
    <row r="229" spans="1:49" x14ac:dyDescent="0.4">
      <c r="A229">
        <v>2313015987</v>
      </c>
      <c r="B229">
        <v>2313015991</v>
      </c>
      <c r="C229" t="str">
        <f>T("[e북]돌아온 막내 영애님을 조심하세요 5권")</f>
        <v>[e북]돌아온 막내 영애님을 조심하세요 5권</v>
      </c>
      <c r="D229" t="str">
        <f>T("5")</f>
        <v>5</v>
      </c>
      <c r="E229" t="str">
        <f t="shared" si="39"/>
        <v>윈델</v>
      </c>
      <c r="H229" t="str">
        <f t="shared" si="37"/>
        <v>스토리위즈</v>
      </c>
      <c r="I229" t="str">
        <f t="shared" si="40"/>
        <v>[e북]돌아온 막내 영애님을 조심하세요</v>
      </c>
      <c r="J229">
        <v>3500</v>
      </c>
      <c r="K229">
        <v>7000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7000</v>
      </c>
      <c r="AH229">
        <v>2</v>
      </c>
      <c r="AI229">
        <v>0</v>
      </c>
      <c r="AJ229">
        <v>0</v>
      </c>
      <c r="AK229">
        <v>7000</v>
      </c>
      <c r="AL229">
        <v>0</v>
      </c>
      <c r="AM229">
        <v>0</v>
      </c>
      <c r="AN229">
        <v>0</v>
      </c>
      <c r="AO229">
        <v>0</v>
      </c>
      <c r="AP229">
        <v>4900</v>
      </c>
      <c r="AT229" t="str">
        <f>T("9791137603448")</f>
        <v>9791137603448</v>
      </c>
      <c r="AV229" t="str">
        <f t="shared" si="38"/>
        <v>로판 e북 &gt; 서양풍 로판</v>
      </c>
    </row>
    <row r="230" spans="1:49" x14ac:dyDescent="0.4">
      <c r="A230">
        <v>2313015987</v>
      </c>
      <c r="B230">
        <v>2313015992</v>
      </c>
      <c r="C230" t="str">
        <f>T("[e북]돌아온 막내 영애님을 조심하세요 6권 (완결)")</f>
        <v>[e북]돌아온 막내 영애님을 조심하세요 6권 (완결)</v>
      </c>
      <c r="D230" t="str">
        <f>T("6")</f>
        <v>6</v>
      </c>
      <c r="E230" t="str">
        <f t="shared" si="39"/>
        <v>윈델</v>
      </c>
      <c r="H230" t="str">
        <f t="shared" si="37"/>
        <v>스토리위즈</v>
      </c>
      <c r="I230" t="str">
        <f t="shared" si="40"/>
        <v>[e북]돌아온 막내 영애님을 조심하세요</v>
      </c>
      <c r="J230">
        <v>3500</v>
      </c>
      <c r="K230">
        <v>7000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7000</v>
      </c>
      <c r="AH230">
        <v>2</v>
      </c>
      <c r="AI230">
        <v>0</v>
      </c>
      <c r="AJ230">
        <v>0</v>
      </c>
      <c r="AK230">
        <v>7000</v>
      </c>
      <c r="AL230">
        <v>0</v>
      </c>
      <c r="AM230">
        <v>0</v>
      </c>
      <c r="AN230">
        <v>0</v>
      </c>
      <c r="AO230">
        <v>0</v>
      </c>
      <c r="AP230">
        <v>4900</v>
      </c>
      <c r="AT230" t="str">
        <f>T("9791137603455")</f>
        <v>9791137603455</v>
      </c>
      <c r="AV230" t="str">
        <f t="shared" si="38"/>
        <v>로판 e북 &gt; 서양풍 로판</v>
      </c>
    </row>
    <row r="231" spans="1:49" x14ac:dyDescent="0.4">
      <c r="A231">
        <v>2313017117</v>
      </c>
      <c r="B231">
        <v>2313017114</v>
      </c>
      <c r="C231" t="str">
        <f>T("[e북]봄나물 (Rookie) 4권 (완결)")</f>
        <v>[e북]봄나물 (Rookie) 4권 (완결)</v>
      </c>
      <c r="D231" t="str">
        <f>T("4")</f>
        <v>4</v>
      </c>
      <c r="E231" t="str">
        <f>T("발상")</f>
        <v>발상</v>
      </c>
      <c r="H231" t="str">
        <f>T("도서출판 태랑")</f>
        <v>도서출판 태랑</v>
      </c>
      <c r="I231" t="str">
        <f>T("[e북]봄나물(Rookie)")</f>
        <v>[e북]봄나물(Rookie)</v>
      </c>
      <c r="J231">
        <v>3500</v>
      </c>
      <c r="K231">
        <v>7000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7000</v>
      </c>
      <c r="AH231">
        <v>2</v>
      </c>
      <c r="AI231">
        <v>0</v>
      </c>
      <c r="AJ231">
        <v>0</v>
      </c>
      <c r="AK231">
        <v>7000</v>
      </c>
      <c r="AL231">
        <v>0</v>
      </c>
      <c r="AM231">
        <v>0</v>
      </c>
      <c r="AN231">
        <v>0</v>
      </c>
      <c r="AO231">
        <v>0</v>
      </c>
      <c r="AP231">
        <v>4900</v>
      </c>
      <c r="AT231" t="str">
        <f>T("9791189627539")</f>
        <v>9791189627539</v>
      </c>
      <c r="AV231" t="str">
        <f>T("BL 소설 e북 &gt; 현대물")</f>
        <v>BL 소설 e북 &gt; 현대물</v>
      </c>
    </row>
    <row r="232" spans="1:49" x14ac:dyDescent="0.4">
      <c r="A232">
        <v>2313017145</v>
      </c>
      <c r="B232">
        <v>2313017145</v>
      </c>
      <c r="C232" t="str">
        <f>T("[e북]그땐 미처")</f>
        <v>[e북]그땐 미처</v>
      </c>
      <c r="D232" t="str">
        <f>T("1")</f>
        <v>1</v>
      </c>
      <c r="E232" t="str">
        <f>T("셔틀")</f>
        <v>셔틀</v>
      </c>
      <c r="H232" t="str">
        <f>T("도서출판 태랑")</f>
        <v>도서출판 태랑</v>
      </c>
      <c r="I232" t="str">
        <f>T("[e북]그땐 미처")</f>
        <v>[e북]그땐 미처</v>
      </c>
      <c r="J232">
        <v>3500</v>
      </c>
      <c r="K232">
        <v>7000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7000</v>
      </c>
      <c r="AH232">
        <v>2</v>
      </c>
      <c r="AI232">
        <v>0</v>
      </c>
      <c r="AJ232">
        <v>0</v>
      </c>
      <c r="AK232">
        <v>7000</v>
      </c>
      <c r="AL232">
        <v>0</v>
      </c>
      <c r="AM232">
        <v>0</v>
      </c>
      <c r="AN232">
        <v>0</v>
      </c>
      <c r="AO232">
        <v>0</v>
      </c>
      <c r="AP232">
        <v>4900</v>
      </c>
      <c r="AT232" t="str">
        <f>T("9791189084608")</f>
        <v>9791189084608</v>
      </c>
      <c r="AV232" t="str">
        <f>T("로맨스 e북 &gt; 현대물")</f>
        <v>로맨스 e북 &gt; 현대물</v>
      </c>
      <c r="AW232" t="str">
        <f>T("로맨스 e북 &gt; 19+")</f>
        <v>로맨스 e북 &gt; 19+</v>
      </c>
    </row>
    <row r="233" spans="1:49" x14ac:dyDescent="0.4">
      <c r="A233">
        <v>2313017163</v>
      </c>
      <c r="B233">
        <v>2313017195</v>
      </c>
      <c r="C233" t="str">
        <f>T("친절하기는 얼어 죽을 32화")</f>
        <v>친절하기는 얼어 죽을 32화</v>
      </c>
      <c r="D233" t="str">
        <f>T("33")</f>
        <v>33</v>
      </c>
      <c r="E233" t="str">
        <f>T("솜목화")</f>
        <v>솜목화</v>
      </c>
      <c r="H233" t="str">
        <f>T("블레슈")</f>
        <v>블레슈</v>
      </c>
      <c r="I233" t="str">
        <f>T("친절하기는 얼어 죽을")</f>
        <v>친절하기는 얼어 죽을</v>
      </c>
      <c r="J233">
        <v>100</v>
      </c>
      <c r="K233">
        <v>7000</v>
      </c>
      <c r="L233">
        <v>70</v>
      </c>
      <c r="M233">
        <v>0</v>
      </c>
      <c r="N233">
        <v>200</v>
      </c>
      <c r="O233">
        <v>2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7200</v>
      </c>
      <c r="AH233">
        <v>73</v>
      </c>
      <c r="AI233">
        <v>0</v>
      </c>
      <c r="AJ233">
        <v>0</v>
      </c>
      <c r="AK233">
        <v>7110</v>
      </c>
      <c r="AL233">
        <v>0</v>
      </c>
      <c r="AM233">
        <v>108</v>
      </c>
      <c r="AN233">
        <v>-32.4</v>
      </c>
      <c r="AO233">
        <v>0</v>
      </c>
      <c r="AP233">
        <v>4311.3599999999997</v>
      </c>
      <c r="AR233" t="str">
        <f>T("0000000000000")</f>
        <v>0000000000000</v>
      </c>
      <c r="AT233" t="str">
        <f>T("9791137604131")</f>
        <v>9791137604131</v>
      </c>
      <c r="AV233" t="str">
        <f>T("로맨스 웹소설 &gt; 현대물")</f>
        <v>로맨스 웹소설 &gt; 현대물</v>
      </c>
    </row>
    <row r="234" spans="1:49" x14ac:dyDescent="0.4">
      <c r="A234">
        <v>2313017163</v>
      </c>
      <c r="B234">
        <v>2313017203</v>
      </c>
      <c r="C234" t="str">
        <f>T("친절하기는 얼어 죽을 40화")</f>
        <v>친절하기는 얼어 죽을 40화</v>
      </c>
      <c r="D234" t="str">
        <f>T("41")</f>
        <v>41</v>
      </c>
      <c r="E234" t="str">
        <f>T("솜목화")</f>
        <v>솜목화</v>
      </c>
      <c r="H234" t="str">
        <f>T("블레슈")</f>
        <v>블레슈</v>
      </c>
      <c r="I234" t="str">
        <f>T("친절하기는 얼어 죽을")</f>
        <v>친절하기는 얼어 죽을</v>
      </c>
      <c r="J234">
        <v>100</v>
      </c>
      <c r="K234">
        <v>6900</v>
      </c>
      <c r="L234">
        <v>69</v>
      </c>
      <c r="M234">
        <v>0</v>
      </c>
      <c r="N234">
        <v>0</v>
      </c>
      <c r="O234">
        <v>0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6900</v>
      </c>
      <c r="AH234">
        <v>72</v>
      </c>
      <c r="AI234">
        <v>0</v>
      </c>
      <c r="AJ234">
        <v>0</v>
      </c>
      <c r="AK234">
        <v>6810</v>
      </c>
      <c r="AL234">
        <v>0</v>
      </c>
      <c r="AM234">
        <v>108</v>
      </c>
      <c r="AN234">
        <v>-32.4</v>
      </c>
      <c r="AO234">
        <v>0</v>
      </c>
      <c r="AP234">
        <v>4131.3599999999997</v>
      </c>
      <c r="AR234" t="str">
        <f>T("0000000000000")</f>
        <v>0000000000000</v>
      </c>
      <c r="AT234" t="str">
        <f>T("9791137604131")</f>
        <v>9791137604131</v>
      </c>
      <c r="AV234" t="str">
        <f>T("로맨스 웹소설 &gt; 현대물")</f>
        <v>로맨스 웹소설 &gt; 현대물</v>
      </c>
    </row>
    <row r="235" spans="1:49" x14ac:dyDescent="0.4">
      <c r="A235">
        <v>2313017163</v>
      </c>
      <c r="B235">
        <v>2313017207</v>
      </c>
      <c r="C235" t="str">
        <f>T("친절하기는 얼어 죽을 44화")</f>
        <v>친절하기는 얼어 죽을 44화</v>
      </c>
      <c r="D235" t="str">
        <f>T("45")</f>
        <v>45</v>
      </c>
      <c r="E235" t="str">
        <f>T("솜목화")</f>
        <v>솜목화</v>
      </c>
      <c r="H235" t="str">
        <f>T("블레슈")</f>
        <v>블레슈</v>
      </c>
      <c r="I235" t="str">
        <f>T("친절하기는 얼어 죽을")</f>
        <v>친절하기는 얼어 죽을</v>
      </c>
      <c r="J235">
        <v>100</v>
      </c>
      <c r="K235">
        <v>6900</v>
      </c>
      <c r="L235">
        <v>69</v>
      </c>
      <c r="M235">
        <v>0</v>
      </c>
      <c r="N235">
        <v>100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7000</v>
      </c>
      <c r="AH235">
        <v>70</v>
      </c>
      <c r="AI235">
        <v>0</v>
      </c>
      <c r="AJ235">
        <v>0</v>
      </c>
      <c r="AK235">
        <v>6910</v>
      </c>
      <c r="AL235">
        <v>0</v>
      </c>
      <c r="AM235">
        <v>108</v>
      </c>
      <c r="AN235">
        <v>-32.4</v>
      </c>
      <c r="AO235">
        <v>0</v>
      </c>
      <c r="AP235">
        <v>4191.3599999999997</v>
      </c>
      <c r="AR235" t="str">
        <f>T("0000000000000")</f>
        <v>0000000000000</v>
      </c>
      <c r="AT235" t="str">
        <f>T("9791137604131")</f>
        <v>9791137604131</v>
      </c>
      <c r="AV235" t="str">
        <f>T("로맨스 웹소설 &gt; 현대물")</f>
        <v>로맨스 웹소설 &gt; 현대물</v>
      </c>
    </row>
    <row r="236" spans="1:49" x14ac:dyDescent="0.4">
      <c r="A236">
        <v>2313017106</v>
      </c>
      <c r="B236">
        <v>2313017084</v>
      </c>
      <c r="C236" t="str">
        <f>T("[e북]개정판 | 야쿠자가 사랑을 한다면 (외전)")</f>
        <v>[e북]개정판 | 야쿠자가 사랑을 한다면 (외전)</v>
      </c>
      <c r="D236" t="str">
        <f>T("3")</f>
        <v>3</v>
      </c>
      <c r="E236" t="str">
        <f>T("모리미")</f>
        <v>모리미</v>
      </c>
      <c r="H236" t="str">
        <f>T("도서출판 태랑")</f>
        <v>도서출판 태랑</v>
      </c>
      <c r="I236" t="str">
        <f>T("[e북]개정판 | 야쿠자가 사랑을 한다면")</f>
        <v>[e북]개정판 | 야쿠자가 사랑을 한다면</v>
      </c>
      <c r="J236">
        <v>400</v>
      </c>
      <c r="K236">
        <v>6800</v>
      </c>
      <c r="L236">
        <v>17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6800</v>
      </c>
      <c r="AH236">
        <v>17</v>
      </c>
      <c r="AI236">
        <v>0</v>
      </c>
      <c r="AJ236">
        <v>0</v>
      </c>
      <c r="AK236">
        <v>6000</v>
      </c>
      <c r="AL236">
        <v>0</v>
      </c>
      <c r="AM236">
        <v>960</v>
      </c>
      <c r="AN236">
        <v>-288</v>
      </c>
      <c r="AO236">
        <v>0</v>
      </c>
      <c r="AP236">
        <v>4670.3999999999996</v>
      </c>
      <c r="AT236" t="str">
        <f>T("9791164370085")</f>
        <v>9791164370085</v>
      </c>
      <c r="AV236" t="str">
        <f>T("BL 소설 e북 &gt; 현대물")</f>
        <v>BL 소설 e북 &gt; 현대물</v>
      </c>
    </row>
    <row r="237" spans="1:49" x14ac:dyDescent="0.4">
      <c r="A237">
        <v>2313017163</v>
      </c>
      <c r="B237">
        <v>2313017199</v>
      </c>
      <c r="C237" t="str">
        <f>T("친절하기는 얼어 죽을 36화")</f>
        <v>친절하기는 얼어 죽을 36화</v>
      </c>
      <c r="D237" t="str">
        <f>T("37")</f>
        <v>37</v>
      </c>
      <c r="E237" t="str">
        <f t="shared" ref="E237:E244" si="41">T("솜목화")</f>
        <v>솜목화</v>
      </c>
      <c r="H237" t="str">
        <f t="shared" ref="H237:H244" si="42">T("블레슈")</f>
        <v>블레슈</v>
      </c>
      <c r="I237" t="str">
        <f t="shared" ref="I237:I244" si="43">T("친절하기는 얼어 죽을")</f>
        <v>친절하기는 얼어 죽을</v>
      </c>
      <c r="J237">
        <v>100</v>
      </c>
      <c r="K237">
        <v>6800</v>
      </c>
      <c r="L237">
        <v>68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6800</v>
      </c>
      <c r="AH237">
        <v>69</v>
      </c>
      <c r="AI237">
        <v>0</v>
      </c>
      <c r="AJ237">
        <v>0</v>
      </c>
      <c r="AK237">
        <v>6710</v>
      </c>
      <c r="AL237">
        <v>0</v>
      </c>
      <c r="AM237">
        <v>108</v>
      </c>
      <c r="AN237">
        <v>-32.4</v>
      </c>
      <c r="AO237">
        <v>0</v>
      </c>
      <c r="AP237">
        <v>4071.36</v>
      </c>
      <c r="AR237" t="str">
        <f t="shared" ref="AR237:AR244" si="44">T("0000000000000")</f>
        <v>0000000000000</v>
      </c>
      <c r="AT237" t="str">
        <f t="shared" ref="AT237:AT244" si="45">T("9791137604131")</f>
        <v>9791137604131</v>
      </c>
      <c r="AV237" t="str">
        <f t="shared" ref="AV237:AV244" si="46">T("로맨스 웹소설 &gt; 현대물")</f>
        <v>로맨스 웹소설 &gt; 현대물</v>
      </c>
    </row>
    <row r="238" spans="1:49" x14ac:dyDescent="0.4">
      <c r="A238">
        <v>2313017163</v>
      </c>
      <c r="B238">
        <v>2313017204</v>
      </c>
      <c r="C238" t="str">
        <f>T("친절하기는 얼어 죽을 41화")</f>
        <v>친절하기는 얼어 죽을 41화</v>
      </c>
      <c r="D238" t="str">
        <f>T("42")</f>
        <v>42</v>
      </c>
      <c r="E238" t="str">
        <f t="shared" si="41"/>
        <v>솜목화</v>
      </c>
      <c r="H238" t="str">
        <f t="shared" si="42"/>
        <v>블레슈</v>
      </c>
      <c r="I238" t="str">
        <f t="shared" si="43"/>
        <v>친절하기는 얼어 죽을</v>
      </c>
      <c r="J238">
        <v>100</v>
      </c>
      <c r="K238">
        <v>6800</v>
      </c>
      <c r="L238">
        <v>68</v>
      </c>
      <c r="M238">
        <v>0</v>
      </c>
      <c r="N238">
        <v>100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6900</v>
      </c>
      <c r="AH238">
        <v>69</v>
      </c>
      <c r="AI238">
        <v>0</v>
      </c>
      <c r="AJ238">
        <v>0</v>
      </c>
      <c r="AK238">
        <v>6810</v>
      </c>
      <c r="AL238">
        <v>0</v>
      </c>
      <c r="AM238">
        <v>108</v>
      </c>
      <c r="AN238">
        <v>-32.4</v>
      </c>
      <c r="AO238">
        <v>0</v>
      </c>
      <c r="AP238">
        <v>4131.3599999999997</v>
      </c>
      <c r="AR238" t="str">
        <f t="shared" si="44"/>
        <v>0000000000000</v>
      </c>
      <c r="AT238" t="str">
        <f t="shared" si="45"/>
        <v>9791137604131</v>
      </c>
      <c r="AV238" t="str">
        <f t="shared" si="46"/>
        <v>로맨스 웹소설 &gt; 현대물</v>
      </c>
    </row>
    <row r="239" spans="1:49" x14ac:dyDescent="0.4">
      <c r="A239">
        <v>2313017163</v>
      </c>
      <c r="B239">
        <v>2313017205</v>
      </c>
      <c r="C239" t="str">
        <f>T("친절하기는 얼어 죽을 42화")</f>
        <v>친절하기는 얼어 죽을 42화</v>
      </c>
      <c r="D239" t="str">
        <f>T("43")</f>
        <v>43</v>
      </c>
      <c r="E239" t="str">
        <f t="shared" si="41"/>
        <v>솜목화</v>
      </c>
      <c r="H239" t="str">
        <f t="shared" si="42"/>
        <v>블레슈</v>
      </c>
      <c r="I239" t="str">
        <f t="shared" si="43"/>
        <v>친절하기는 얼어 죽을</v>
      </c>
      <c r="J239">
        <v>100</v>
      </c>
      <c r="K239">
        <v>6800</v>
      </c>
      <c r="L239">
        <v>68</v>
      </c>
      <c r="M239">
        <v>0</v>
      </c>
      <c r="N239">
        <v>100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6900</v>
      </c>
      <c r="AH239">
        <v>69</v>
      </c>
      <c r="AI239">
        <v>0</v>
      </c>
      <c r="AJ239">
        <v>0</v>
      </c>
      <c r="AK239">
        <v>6810</v>
      </c>
      <c r="AL239">
        <v>0</v>
      </c>
      <c r="AM239">
        <v>108</v>
      </c>
      <c r="AN239">
        <v>-32.4</v>
      </c>
      <c r="AO239">
        <v>0</v>
      </c>
      <c r="AP239">
        <v>4131.3599999999997</v>
      </c>
      <c r="AR239" t="str">
        <f t="shared" si="44"/>
        <v>0000000000000</v>
      </c>
      <c r="AT239" t="str">
        <f t="shared" si="45"/>
        <v>9791137604131</v>
      </c>
      <c r="AV239" t="str">
        <f t="shared" si="46"/>
        <v>로맨스 웹소설 &gt; 현대물</v>
      </c>
    </row>
    <row r="240" spans="1:49" x14ac:dyDescent="0.4">
      <c r="A240">
        <v>2313017163</v>
      </c>
      <c r="B240">
        <v>2313017206</v>
      </c>
      <c r="C240" t="str">
        <f>T("친절하기는 얼어 죽을 43화")</f>
        <v>친절하기는 얼어 죽을 43화</v>
      </c>
      <c r="D240" t="str">
        <f>T("44")</f>
        <v>44</v>
      </c>
      <c r="E240" t="str">
        <f t="shared" si="41"/>
        <v>솜목화</v>
      </c>
      <c r="H240" t="str">
        <f t="shared" si="42"/>
        <v>블레슈</v>
      </c>
      <c r="I240" t="str">
        <f t="shared" si="43"/>
        <v>친절하기는 얼어 죽을</v>
      </c>
      <c r="J240">
        <v>100</v>
      </c>
      <c r="K240">
        <v>6800</v>
      </c>
      <c r="L240">
        <v>68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6800</v>
      </c>
      <c r="AH240">
        <v>68</v>
      </c>
      <c r="AI240">
        <v>0</v>
      </c>
      <c r="AJ240">
        <v>0</v>
      </c>
      <c r="AK240">
        <v>6710</v>
      </c>
      <c r="AL240">
        <v>0</v>
      </c>
      <c r="AM240">
        <v>108</v>
      </c>
      <c r="AN240">
        <v>-32.4</v>
      </c>
      <c r="AO240">
        <v>0</v>
      </c>
      <c r="AP240">
        <v>4071.36</v>
      </c>
      <c r="AR240" t="str">
        <f t="shared" si="44"/>
        <v>0000000000000</v>
      </c>
      <c r="AT240" t="str">
        <f t="shared" si="45"/>
        <v>9791137604131</v>
      </c>
      <c r="AV240" t="str">
        <f t="shared" si="46"/>
        <v>로맨스 웹소설 &gt; 현대물</v>
      </c>
    </row>
    <row r="241" spans="1:48" x14ac:dyDescent="0.4">
      <c r="A241">
        <v>2313017163</v>
      </c>
      <c r="B241">
        <v>2313017208</v>
      </c>
      <c r="C241" t="str">
        <f>T("친절하기는 얼어 죽을 45화")</f>
        <v>친절하기는 얼어 죽을 45화</v>
      </c>
      <c r="D241" t="str">
        <f>T("46")</f>
        <v>46</v>
      </c>
      <c r="E241" t="str">
        <f t="shared" si="41"/>
        <v>솜목화</v>
      </c>
      <c r="H241" t="str">
        <f t="shared" si="42"/>
        <v>블레슈</v>
      </c>
      <c r="I241" t="str">
        <f t="shared" si="43"/>
        <v>친절하기는 얼어 죽을</v>
      </c>
      <c r="J241">
        <v>100</v>
      </c>
      <c r="K241">
        <v>6800</v>
      </c>
      <c r="L241">
        <v>68</v>
      </c>
      <c r="M241">
        <v>0</v>
      </c>
      <c r="N241">
        <v>200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7000</v>
      </c>
      <c r="AH241">
        <v>70</v>
      </c>
      <c r="AI241">
        <v>0</v>
      </c>
      <c r="AJ241">
        <v>0</v>
      </c>
      <c r="AK241">
        <v>6910</v>
      </c>
      <c r="AL241">
        <v>0</v>
      </c>
      <c r="AM241">
        <v>108</v>
      </c>
      <c r="AN241">
        <v>-32.4</v>
      </c>
      <c r="AO241">
        <v>0</v>
      </c>
      <c r="AP241">
        <v>4191.3599999999997</v>
      </c>
      <c r="AR241" t="str">
        <f t="shared" si="44"/>
        <v>0000000000000</v>
      </c>
      <c r="AT241" t="str">
        <f t="shared" si="45"/>
        <v>9791137604131</v>
      </c>
      <c r="AV241" t="str">
        <f t="shared" si="46"/>
        <v>로맨스 웹소설 &gt; 현대물</v>
      </c>
    </row>
    <row r="242" spans="1:48" x14ac:dyDescent="0.4">
      <c r="A242">
        <v>2313017163</v>
      </c>
      <c r="B242">
        <v>2313017249</v>
      </c>
      <c r="C242" t="str">
        <f>T("친절하기는 얼어 죽을 86화")</f>
        <v>친절하기는 얼어 죽을 86화</v>
      </c>
      <c r="D242" t="str">
        <f>T("87")</f>
        <v>87</v>
      </c>
      <c r="E242" t="str">
        <f t="shared" si="41"/>
        <v>솜목화</v>
      </c>
      <c r="H242" t="str">
        <f t="shared" si="42"/>
        <v>블레슈</v>
      </c>
      <c r="I242" t="str">
        <f t="shared" si="43"/>
        <v>친절하기는 얼어 죽을</v>
      </c>
      <c r="J242">
        <v>100</v>
      </c>
      <c r="K242">
        <v>6800</v>
      </c>
      <c r="L242">
        <v>68</v>
      </c>
      <c r="M242">
        <v>0</v>
      </c>
      <c r="N242">
        <v>1500</v>
      </c>
      <c r="O242">
        <v>15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8300</v>
      </c>
      <c r="AH242">
        <v>86</v>
      </c>
      <c r="AI242">
        <v>0</v>
      </c>
      <c r="AJ242">
        <v>0</v>
      </c>
      <c r="AK242">
        <v>8210</v>
      </c>
      <c r="AL242">
        <v>0</v>
      </c>
      <c r="AM242">
        <v>108</v>
      </c>
      <c r="AN242">
        <v>-32.4</v>
      </c>
      <c r="AO242">
        <v>0</v>
      </c>
      <c r="AP242">
        <v>4971.3599999999997</v>
      </c>
      <c r="AR242" t="str">
        <f t="shared" si="44"/>
        <v>0000000000000</v>
      </c>
      <c r="AT242" t="str">
        <f t="shared" si="45"/>
        <v>9791137604131</v>
      </c>
      <c r="AV242" t="str">
        <f t="shared" si="46"/>
        <v>로맨스 웹소설 &gt; 현대물</v>
      </c>
    </row>
    <row r="243" spans="1:48" x14ac:dyDescent="0.4">
      <c r="A243">
        <v>2313017163</v>
      </c>
      <c r="B243">
        <v>2313017200</v>
      </c>
      <c r="C243" t="str">
        <f>T("친절하기는 얼어 죽을 37화")</f>
        <v>친절하기는 얼어 죽을 37화</v>
      </c>
      <c r="D243" t="str">
        <f>T("38")</f>
        <v>38</v>
      </c>
      <c r="E243" t="str">
        <f t="shared" si="41"/>
        <v>솜목화</v>
      </c>
      <c r="H243" t="str">
        <f t="shared" si="42"/>
        <v>블레슈</v>
      </c>
      <c r="I243" t="str">
        <f t="shared" si="43"/>
        <v>친절하기는 얼어 죽을</v>
      </c>
      <c r="J243">
        <v>100</v>
      </c>
      <c r="K243">
        <v>6700</v>
      </c>
      <c r="L243">
        <v>67</v>
      </c>
      <c r="M243">
        <v>0</v>
      </c>
      <c r="N243">
        <v>100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6800</v>
      </c>
      <c r="AH243">
        <v>68</v>
      </c>
      <c r="AI243">
        <v>0</v>
      </c>
      <c r="AJ243">
        <v>0</v>
      </c>
      <c r="AK243">
        <v>6710</v>
      </c>
      <c r="AL243">
        <v>0</v>
      </c>
      <c r="AM243">
        <v>108</v>
      </c>
      <c r="AN243">
        <v>-32.4</v>
      </c>
      <c r="AO243">
        <v>0</v>
      </c>
      <c r="AP243">
        <v>4071.36</v>
      </c>
      <c r="AR243" t="str">
        <f t="shared" si="44"/>
        <v>0000000000000</v>
      </c>
      <c r="AT243" t="str">
        <f t="shared" si="45"/>
        <v>9791137604131</v>
      </c>
      <c r="AV243" t="str">
        <f t="shared" si="46"/>
        <v>로맨스 웹소설 &gt; 현대물</v>
      </c>
    </row>
    <row r="244" spans="1:48" x14ac:dyDescent="0.4">
      <c r="A244">
        <v>2313017163</v>
      </c>
      <c r="B244">
        <v>2313017202</v>
      </c>
      <c r="C244" t="str">
        <f>T("친절하기는 얼어 죽을 39화")</f>
        <v>친절하기는 얼어 죽을 39화</v>
      </c>
      <c r="D244" t="str">
        <f>T("40")</f>
        <v>40</v>
      </c>
      <c r="E244" t="str">
        <f t="shared" si="41"/>
        <v>솜목화</v>
      </c>
      <c r="H244" t="str">
        <f t="shared" si="42"/>
        <v>블레슈</v>
      </c>
      <c r="I244" t="str">
        <f t="shared" si="43"/>
        <v>친절하기는 얼어 죽을</v>
      </c>
      <c r="J244">
        <v>100</v>
      </c>
      <c r="K244">
        <v>6700</v>
      </c>
      <c r="L244">
        <v>67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6700</v>
      </c>
      <c r="AH244">
        <v>67</v>
      </c>
      <c r="AI244">
        <v>0</v>
      </c>
      <c r="AJ244">
        <v>0</v>
      </c>
      <c r="AK244">
        <v>6610</v>
      </c>
      <c r="AL244">
        <v>0</v>
      </c>
      <c r="AM244">
        <v>108</v>
      </c>
      <c r="AN244">
        <v>-32.4</v>
      </c>
      <c r="AO244">
        <v>0</v>
      </c>
      <c r="AP244">
        <v>4011.36</v>
      </c>
      <c r="AR244" t="str">
        <f t="shared" si="44"/>
        <v>0000000000000</v>
      </c>
      <c r="AT244" t="str">
        <f t="shared" si="45"/>
        <v>9791137604131</v>
      </c>
      <c r="AV244" t="str">
        <f t="shared" si="46"/>
        <v>로맨스 웹소설 &gt; 현대물</v>
      </c>
    </row>
    <row r="245" spans="1:48" x14ac:dyDescent="0.4">
      <c r="A245">
        <v>2313016851</v>
      </c>
      <c r="B245">
        <v>2313016848</v>
      </c>
      <c r="C245" t="str">
        <f>T("[e북]어쩌다 계약 아내 (외전증보판) (외전)")</f>
        <v>[e북]어쩌다 계약 아내 (외전증보판) (외전)</v>
      </c>
      <c r="D245" t="str">
        <f>T("4")</f>
        <v>4</v>
      </c>
      <c r="E245" t="str">
        <f>T("아슈크림")</f>
        <v>아슈크림</v>
      </c>
      <c r="H245" t="str">
        <f>T("도서출판 태랑")</f>
        <v>도서출판 태랑</v>
      </c>
      <c r="I245" t="str">
        <f>T("[e북]어쩌다 계약 아내 (외전증보판)")</f>
        <v>[e북]어쩌다 계약 아내 (외전증보판)</v>
      </c>
      <c r="J245">
        <v>2200</v>
      </c>
      <c r="K245">
        <v>6600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6600</v>
      </c>
      <c r="AH245">
        <v>3</v>
      </c>
      <c r="AI245">
        <v>0</v>
      </c>
      <c r="AJ245">
        <v>0</v>
      </c>
      <c r="AK245">
        <v>6600</v>
      </c>
      <c r="AL245">
        <v>0</v>
      </c>
      <c r="AM245">
        <v>0</v>
      </c>
      <c r="AN245">
        <v>0</v>
      </c>
      <c r="AO245">
        <v>0</v>
      </c>
      <c r="AP245">
        <v>4620</v>
      </c>
      <c r="AT245" t="str">
        <f>T("9791164374687")</f>
        <v>9791164374687</v>
      </c>
      <c r="AV245" t="str">
        <f>T("로맨스 e북 &gt; 현대물")</f>
        <v>로맨스 e북 &gt; 현대물</v>
      </c>
    </row>
    <row r="246" spans="1:48" x14ac:dyDescent="0.4">
      <c r="A246">
        <v>2313017163</v>
      </c>
      <c r="B246">
        <v>2313017201</v>
      </c>
      <c r="C246" t="str">
        <f>T("친절하기는 얼어 죽을 38화")</f>
        <v>친절하기는 얼어 죽을 38화</v>
      </c>
      <c r="D246" t="str">
        <f>T("39")</f>
        <v>39</v>
      </c>
      <c r="E246" t="str">
        <f>T("솜목화")</f>
        <v>솜목화</v>
      </c>
      <c r="H246" t="str">
        <f>T("블레슈")</f>
        <v>블레슈</v>
      </c>
      <c r="I246" t="str">
        <f>T("친절하기는 얼어 죽을")</f>
        <v>친절하기는 얼어 죽을</v>
      </c>
      <c r="J246">
        <v>100</v>
      </c>
      <c r="K246">
        <v>6600</v>
      </c>
      <c r="L246">
        <v>66</v>
      </c>
      <c r="M246">
        <v>0</v>
      </c>
      <c r="N246">
        <v>100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6700</v>
      </c>
      <c r="AH246">
        <v>67</v>
      </c>
      <c r="AI246">
        <v>0</v>
      </c>
      <c r="AJ246">
        <v>0</v>
      </c>
      <c r="AK246">
        <v>6610</v>
      </c>
      <c r="AL246">
        <v>0</v>
      </c>
      <c r="AM246">
        <v>108</v>
      </c>
      <c r="AN246">
        <v>-32.4</v>
      </c>
      <c r="AO246">
        <v>0</v>
      </c>
      <c r="AP246">
        <v>4011.36</v>
      </c>
      <c r="AR246" t="str">
        <f>T("0000000000000")</f>
        <v>0000000000000</v>
      </c>
      <c r="AT246" t="str">
        <f>T("9791137604131")</f>
        <v>9791137604131</v>
      </c>
      <c r="AV246" t="str">
        <f>T("로맨스 웹소설 &gt; 현대물")</f>
        <v>로맨스 웹소설 &gt; 현대물</v>
      </c>
    </row>
    <row r="247" spans="1:48" x14ac:dyDescent="0.4">
      <c r="A247">
        <v>2313017657</v>
      </c>
      <c r="B247">
        <v>2313017686</v>
      </c>
      <c r="C247" t="str">
        <f>T("회귀자의 슬기로운 복수생활 30화")</f>
        <v>회귀자의 슬기로운 복수생활 30화</v>
      </c>
      <c r="D247" t="str">
        <f>T("30")</f>
        <v>30</v>
      </c>
      <c r="E247" t="str">
        <f>T("구공")</f>
        <v>구공</v>
      </c>
      <c r="H247" t="str">
        <f>T("스토리위즈")</f>
        <v>스토리위즈</v>
      </c>
      <c r="I247" t="str">
        <f>T("회귀자의 슬기로운 복수생활")</f>
        <v>회귀자의 슬기로운 복수생활</v>
      </c>
      <c r="J247">
        <v>100</v>
      </c>
      <c r="K247">
        <v>6600</v>
      </c>
      <c r="L247">
        <v>66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6600</v>
      </c>
      <c r="AH247">
        <v>66</v>
      </c>
      <c r="AI247">
        <v>0</v>
      </c>
      <c r="AJ247">
        <v>0</v>
      </c>
      <c r="AK247">
        <v>6600</v>
      </c>
      <c r="AL247">
        <v>0</v>
      </c>
      <c r="AM247">
        <v>0</v>
      </c>
      <c r="AN247">
        <v>0</v>
      </c>
      <c r="AO247">
        <v>0</v>
      </c>
      <c r="AP247">
        <v>4620</v>
      </c>
      <c r="AT247" t="str">
        <f>T("9791137601710")</f>
        <v>9791137601710</v>
      </c>
      <c r="AV247" t="str">
        <f>T("판타지 웹소설 &gt; 퓨전 판타지")</f>
        <v>판타지 웹소설 &gt; 퓨전 판타지</v>
      </c>
    </row>
    <row r="248" spans="1:48" x14ac:dyDescent="0.4">
      <c r="A248">
        <v>2313017163</v>
      </c>
      <c r="B248">
        <v>2313017209</v>
      </c>
      <c r="C248" t="str">
        <f>T("친절하기는 얼어 죽을 46화")</f>
        <v>친절하기는 얼어 죽을 46화</v>
      </c>
      <c r="D248" t="str">
        <f>T("47")</f>
        <v>47</v>
      </c>
      <c r="E248" t="str">
        <f>T("솜목화")</f>
        <v>솜목화</v>
      </c>
      <c r="H248" t="str">
        <f>T("블레슈")</f>
        <v>블레슈</v>
      </c>
      <c r="I248" t="str">
        <f>T("친절하기는 얼어 죽을")</f>
        <v>친절하기는 얼어 죽을</v>
      </c>
      <c r="J248">
        <v>100</v>
      </c>
      <c r="K248">
        <v>6500</v>
      </c>
      <c r="L248">
        <v>65</v>
      </c>
      <c r="M248">
        <v>0</v>
      </c>
      <c r="N248">
        <v>100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6600</v>
      </c>
      <c r="AH248">
        <v>67</v>
      </c>
      <c r="AI248">
        <v>0</v>
      </c>
      <c r="AJ248">
        <v>0</v>
      </c>
      <c r="AK248">
        <v>6510</v>
      </c>
      <c r="AL248">
        <v>0</v>
      </c>
      <c r="AM248">
        <v>108</v>
      </c>
      <c r="AN248">
        <v>-32.4</v>
      </c>
      <c r="AO248">
        <v>0</v>
      </c>
      <c r="AP248">
        <v>3951.36</v>
      </c>
      <c r="AR248" t="str">
        <f>T("0000000000000")</f>
        <v>0000000000000</v>
      </c>
      <c r="AT248" t="str">
        <f>T("9791137604131")</f>
        <v>9791137604131</v>
      </c>
      <c r="AV248" t="str">
        <f>T("로맨스 웹소설 &gt; 현대물")</f>
        <v>로맨스 웹소설 &gt; 현대물</v>
      </c>
    </row>
    <row r="249" spans="1:48" x14ac:dyDescent="0.4">
      <c r="A249">
        <v>2313017163</v>
      </c>
      <c r="B249">
        <v>2313017210</v>
      </c>
      <c r="C249" t="str">
        <f>T("친절하기는 얼어 죽을 47화")</f>
        <v>친절하기는 얼어 죽을 47화</v>
      </c>
      <c r="D249" t="str">
        <f>T("48")</f>
        <v>48</v>
      </c>
      <c r="E249" t="str">
        <f>T("솜목화")</f>
        <v>솜목화</v>
      </c>
      <c r="H249" t="str">
        <f>T("블레슈")</f>
        <v>블레슈</v>
      </c>
      <c r="I249" t="str">
        <f>T("친절하기는 얼어 죽을")</f>
        <v>친절하기는 얼어 죽을</v>
      </c>
      <c r="J249">
        <v>100</v>
      </c>
      <c r="K249">
        <v>6500</v>
      </c>
      <c r="L249">
        <v>65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6500</v>
      </c>
      <c r="AH249">
        <v>65</v>
      </c>
      <c r="AI249">
        <v>0</v>
      </c>
      <c r="AJ249">
        <v>0</v>
      </c>
      <c r="AK249">
        <v>6410</v>
      </c>
      <c r="AL249">
        <v>0</v>
      </c>
      <c r="AM249">
        <v>108</v>
      </c>
      <c r="AN249">
        <v>-32.4</v>
      </c>
      <c r="AO249">
        <v>0</v>
      </c>
      <c r="AP249">
        <v>3891.36</v>
      </c>
      <c r="AR249" t="str">
        <f>T("0000000000000")</f>
        <v>0000000000000</v>
      </c>
      <c r="AT249" t="str">
        <f>T("9791137604131")</f>
        <v>9791137604131</v>
      </c>
      <c r="AV249" t="str">
        <f>T("로맨스 웹소설 &gt; 현대물")</f>
        <v>로맨스 웹소설 &gt; 현대물</v>
      </c>
    </row>
    <row r="250" spans="1:48" x14ac:dyDescent="0.4">
      <c r="A250">
        <v>2313002073</v>
      </c>
      <c r="B250">
        <v>2313002074</v>
      </c>
      <c r="C250" t="str">
        <f>T("[e북]형사의 게임 2권")</f>
        <v>[e북]형사의 게임 2권</v>
      </c>
      <c r="D250" t="str">
        <f>T("2")</f>
        <v>2</v>
      </c>
      <c r="E250" t="str">
        <f>T("무장")</f>
        <v>무장</v>
      </c>
      <c r="H250" t="str">
        <f t="shared" ref="H250:H285" si="47">T("스토리위즈")</f>
        <v>스토리위즈</v>
      </c>
      <c r="I250" t="str">
        <f>T("[e북]형사의 게임")</f>
        <v>[e북]형사의 게임</v>
      </c>
      <c r="J250">
        <v>3200</v>
      </c>
      <c r="K250">
        <v>6400</v>
      </c>
      <c r="L250">
        <v>2</v>
      </c>
      <c r="M250">
        <v>0</v>
      </c>
      <c r="N250">
        <v>23400</v>
      </c>
      <c r="O250">
        <v>26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29800</v>
      </c>
      <c r="AH250">
        <v>28</v>
      </c>
      <c r="AI250">
        <v>0</v>
      </c>
      <c r="AJ250">
        <v>0</v>
      </c>
      <c r="AK250">
        <v>29800</v>
      </c>
      <c r="AL250">
        <v>0</v>
      </c>
      <c r="AM250">
        <v>0</v>
      </c>
      <c r="AN250">
        <v>0</v>
      </c>
      <c r="AO250">
        <v>0</v>
      </c>
      <c r="AP250">
        <v>20860</v>
      </c>
      <c r="AT250" t="str">
        <f>T("9791195863044")</f>
        <v>9791195863044</v>
      </c>
      <c r="AV250" t="str">
        <f>T("판타지 e북 &gt; 현대 판타지")</f>
        <v>판타지 e북 &gt; 현대 판타지</v>
      </c>
    </row>
    <row r="251" spans="1:48" x14ac:dyDescent="0.4">
      <c r="A251">
        <v>2313002073</v>
      </c>
      <c r="B251">
        <v>2313002075</v>
      </c>
      <c r="C251" t="str">
        <f>T("[e북]형사의 게임 3권")</f>
        <v>[e북]형사의 게임 3권</v>
      </c>
      <c r="D251" t="str">
        <f>T("3")</f>
        <v>3</v>
      </c>
      <c r="E251" t="str">
        <f>T("무장")</f>
        <v>무장</v>
      </c>
      <c r="H251" t="str">
        <f t="shared" si="47"/>
        <v>스토리위즈</v>
      </c>
      <c r="I251" t="str">
        <f>T("[e북]형사의 게임")</f>
        <v>[e북]형사의 게임</v>
      </c>
      <c r="J251">
        <v>3200</v>
      </c>
      <c r="K251">
        <v>6400</v>
      </c>
      <c r="L251">
        <v>2</v>
      </c>
      <c r="M251">
        <v>0</v>
      </c>
      <c r="N251">
        <v>23400</v>
      </c>
      <c r="O251">
        <v>26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29800</v>
      </c>
      <c r="AH251">
        <v>28</v>
      </c>
      <c r="AI251">
        <v>0</v>
      </c>
      <c r="AJ251">
        <v>0</v>
      </c>
      <c r="AK251">
        <v>29800</v>
      </c>
      <c r="AL251">
        <v>0</v>
      </c>
      <c r="AM251">
        <v>0</v>
      </c>
      <c r="AN251">
        <v>0</v>
      </c>
      <c r="AO251">
        <v>0</v>
      </c>
      <c r="AP251">
        <v>20860</v>
      </c>
      <c r="AT251" t="str">
        <f>T("9791195863051")</f>
        <v>9791195863051</v>
      </c>
      <c r="AV251" t="str">
        <f>T("판타지 e북 &gt; 현대 판타지")</f>
        <v>판타지 e북 &gt; 현대 판타지</v>
      </c>
    </row>
    <row r="252" spans="1:48" x14ac:dyDescent="0.4">
      <c r="A252">
        <v>2313002073</v>
      </c>
      <c r="B252">
        <v>2313002082</v>
      </c>
      <c r="C252" t="str">
        <f>T("[e북]형사의 게임 10권")</f>
        <v>[e북]형사의 게임 10권</v>
      </c>
      <c r="D252" t="str">
        <f>T("10")</f>
        <v>10</v>
      </c>
      <c r="E252" t="str">
        <f>T("무장")</f>
        <v>무장</v>
      </c>
      <c r="H252" t="str">
        <f t="shared" si="47"/>
        <v>스토리위즈</v>
      </c>
      <c r="I252" t="str">
        <f>T("[e북]형사의 게임")</f>
        <v>[e북]형사의 게임</v>
      </c>
      <c r="J252">
        <v>3200</v>
      </c>
      <c r="K252">
        <v>6400</v>
      </c>
      <c r="L252">
        <v>2</v>
      </c>
      <c r="M252">
        <v>0</v>
      </c>
      <c r="N252">
        <v>27000</v>
      </c>
      <c r="O252">
        <v>30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33400</v>
      </c>
      <c r="AH252">
        <v>32</v>
      </c>
      <c r="AI252">
        <v>0</v>
      </c>
      <c r="AJ252">
        <v>0</v>
      </c>
      <c r="AK252">
        <v>32500</v>
      </c>
      <c r="AL252">
        <v>0</v>
      </c>
      <c r="AM252">
        <v>1080</v>
      </c>
      <c r="AN252">
        <v>-324</v>
      </c>
      <c r="AO252">
        <v>0</v>
      </c>
      <c r="AP252">
        <v>23279.200000000001</v>
      </c>
      <c r="AT252" t="str">
        <f>T("9791188630028")</f>
        <v>9791188630028</v>
      </c>
      <c r="AV252" t="str">
        <f>T("판타지 e북 &gt; 현대 판타지")</f>
        <v>판타지 e북 &gt; 현대 판타지</v>
      </c>
    </row>
    <row r="253" spans="1:48" x14ac:dyDescent="0.4">
      <c r="A253">
        <v>2313002073</v>
      </c>
      <c r="B253">
        <v>2313002083</v>
      </c>
      <c r="C253" t="str">
        <f>T("[e북]형사의 게임 11권")</f>
        <v>[e북]형사의 게임 11권</v>
      </c>
      <c r="D253" t="str">
        <f>T("11")</f>
        <v>11</v>
      </c>
      <c r="E253" t="str">
        <f>T("무장")</f>
        <v>무장</v>
      </c>
      <c r="H253" t="str">
        <f t="shared" si="47"/>
        <v>스토리위즈</v>
      </c>
      <c r="I253" t="str">
        <f>T("[e북]형사의 게임")</f>
        <v>[e북]형사의 게임</v>
      </c>
      <c r="J253">
        <v>3200</v>
      </c>
      <c r="K253">
        <v>6400</v>
      </c>
      <c r="L253">
        <v>2</v>
      </c>
      <c r="M253">
        <v>0</v>
      </c>
      <c r="N253">
        <v>27000</v>
      </c>
      <c r="O253">
        <v>30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33400</v>
      </c>
      <c r="AH253">
        <v>32</v>
      </c>
      <c r="AI253">
        <v>0</v>
      </c>
      <c r="AJ253">
        <v>0</v>
      </c>
      <c r="AK253">
        <v>32500</v>
      </c>
      <c r="AL253">
        <v>0</v>
      </c>
      <c r="AM253">
        <v>1080</v>
      </c>
      <c r="AN253">
        <v>-324</v>
      </c>
      <c r="AO253">
        <v>0</v>
      </c>
      <c r="AP253">
        <v>23279.200000000001</v>
      </c>
      <c r="AT253" t="str">
        <f>T("9791188630035")</f>
        <v>9791188630035</v>
      </c>
      <c r="AV253" t="str">
        <f>T("판타지 e북 &gt; 현대 판타지")</f>
        <v>판타지 e북 &gt; 현대 판타지</v>
      </c>
    </row>
    <row r="254" spans="1:48" x14ac:dyDescent="0.4">
      <c r="A254">
        <v>2313002073</v>
      </c>
      <c r="B254">
        <v>2313002084</v>
      </c>
      <c r="C254" t="str">
        <f>T("[e북]형사의 게임 12권 (완결)")</f>
        <v>[e북]형사의 게임 12권 (완결)</v>
      </c>
      <c r="D254" t="str">
        <f>T("12")</f>
        <v>12</v>
      </c>
      <c r="E254" t="str">
        <f>T("무장")</f>
        <v>무장</v>
      </c>
      <c r="H254" t="str">
        <f t="shared" si="47"/>
        <v>스토리위즈</v>
      </c>
      <c r="I254" t="str">
        <f>T("[e북]형사의 게임")</f>
        <v>[e북]형사의 게임</v>
      </c>
      <c r="J254">
        <v>3200</v>
      </c>
      <c r="K254">
        <v>6400</v>
      </c>
      <c r="L254">
        <v>2</v>
      </c>
      <c r="M254">
        <v>0</v>
      </c>
      <c r="N254">
        <v>26100</v>
      </c>
      <c r="O254">
        <v>29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32500</v>
      </c>
      <c r="AH254">
        <v>31</v>
      </c>
      <c r="AI254">
        <v>0</v>
      </c>
      <c r="AJ254">
        <v>0</v>
      </c>
      <c r="AK254">
        <v>31600</v>
      </c>
      <c r="AL254">
        <v>0</v>
      </c>
      <c r="AM254">
        <v>1080</v>
      </c>
      <c r="AN254">
        <v>-324</v>
      </c>
      <c r="AO254">
        <v>0</v>
      </c>
      <c r="AP254">
        <v>22649.200000000001</v>
      </c>
      <c r="AT254" t="str">
        <f>T("9791188630042")</f>
        <v>9791188630042</v>
      </c>
      <c r="AV254" t="str">
        <f>T("판타지 e북 &gt; 현대 판타지")</f>
        <v>판타지 e북 &gt; 현대 판타지</v>
      </c>
    </row>
    <row r="255" spans="1:48" x14ac:dyDescent="0.4">
      <c r="A255">
        <v>2313007047</v>
      </c>
      <c r="B255">
        <v>2313007076</v>
      </c>
      <c r="C255" t="str">
        <f>T("[e북]삼국지 호접몽전 3부 6권")</f>
        <v>[e북]삼국지 호접몽전 3부 6권</v>
      </c>
      <c r="D255" t="str">
        <f>T("30")</f>
        <v>30</v>
      </c>
      <c r="E255" t="str">
        <f>T("청빙")</f>
        <v>청빙</v>
      </c>
      <c r="H255" t="str">
        <f t="shared" si="47"/>
        <v>스토리위즈</v>
      </c>
      <c r="I255" t="str">
        <f>T("[e북]삼국지 호접몽전")</f>
        <v>[e북]삼국지 호접몽전</v>
      </c>
      <c r="J255">
        <v>3200</v>
      </c>
      <c r="K255">
        <v>6400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6400</v>
      </c>
      <c r="AH255">
        <v>2</v>
      </c>
      <c r="AI255">
        <v>0</v>
      </c>
      <c r="AJ255">
        <v>0</v>
      </c>
      <c r="AK255">
        <v>6400</v>
      </c>
      <c r="AL255">
        <v>0</v>
      </c>
      <c r="AM255">
        <v>0</v>
      </c>
      <c r="AN255">
        <v>0</v>
      </c>
      <c r="AO255">
        <v>0</v>
      </c>
      <c r="AP255">
        <v>4480</v>
      </c>
      <c r="AT255" t="str">
        <f>T("9791159289521")</f>
        <v>9791159289521</v>
      </c>
      <c r="AV255" t="str">
        <f>T("판타지 e북 &gt; 퓨전 판타지")</f>
        <v>판타지 e북 &gt; 퓨전 판타지</v>
      </c>
    </row>
    <row r="256" spans="1:48" x14ac:dyDescent="0.4">
      <c r="A256">
        <v>2313007047</v>
      </c>
      <c r="B256">
        <v>2313007077</v>
      </c>
      <c r="C256" t="str">
        <f>T("[e북]삼국지 호접몽전 4부 1권")</f>
        <v>[e북]삼국지 호접몽전 4부 1권</v>
      </c>
      <c r="D256" t="str">
        <f>T("31")</f>
        <v>31</v>
      </c>
      <c r="E256" t="str">
        <f>T("청빙")</f>
        <v>청빙</v>
      </c>
      <c r="H256" t="str">
        <f t="shared" si="47"/>
        <v>스토리위즈</v>
      </c>
      <c r="I256" t="str">
        <f>T("[e북]삼국지 호접몽전")</f>
        <v>[e북]삼국지 호접몽전</v>
      </c>
      <c r="J256">
        <v>3200</v>
      </c>
      <c r="K256">
        <v>6400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6400</v>
      </c>
      <c r="AH256">
        <v>2</v>
      </c>
      <c r="AI256">
        <v>0</v>
      </c>
      <c r="AJ256">
        <v>0</v>
      </c>
      <c r="AK256">
        <v>6400</v>
      </c>
      <c r="AL256">
        <v>0</v>
      </c>
      <c r="AM256">
        <v>0</v>
      </c>
      <c r="AN256">
        <v>0</v>
      </c>
      <c r="AO256">
        <v>0</v>
      </c>
      <c r="AP256">
        <v>4480</v>
      </c>
      <c r="AT256" t="str">
        <f>T("9791159289538")</f>
        <v>9791159289538</v>
      </c>
      <c r="AV256" t="str">
        <f>T("판타지 e북 &gt; 퓨전 판타지")</f>
        <v>판타지 e북 &gt; 퓨전 판타지</v>
      </c>
    </row>
    <row r="257" spans="1:48" x14ac:dyDescent="0.4">
      <c r="A257">
        <v>2313007047</v>
      </c>
      <c r="B257">
        <v>2313007078</v>
      </c>
      <c r="C257" t="str">
        <f>T("[e북]삼국지 호접몽전 4부 2권")</f>
        <v>[e북]삼국지 호접몽전 4부 2권</v>
      </c>
      <c r="D257" t="str">
        <f>T("32")</f>
        <v>32</v>
      </c>
      <c r="E257" t="str">
        <f>T("청빙")</f>
        <v>청빙</v>
      </c>
      <c r="H257" t="str">
        <f t="shared" si="47"/>
        <v>스토리위즈</v>
      </c>
      <c r="I257" t="str">
        <f>T("[e북]삼국지 호접몽전")</f>
        <v>[e북]삼국지 호접몽전</v>
      </c>
      <c r="J257">
        <v>3200</v>
      </c>
      <c r="K257">
        <v>6400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6400</v>
      </c>
      <c r="AH257">
        <v>2</v>
      </c>
      <c r="AI257">
        <v>0</v>
      </c>
      <c r="AJ257">
        <v>0</v>
      </c>
      <c r="AK257">
        <v>6400</v>
      </c>
      <c r="AL257">
        <v>0</v>
      </c>
      <c r="AM257">
        <v>0</v>
      </c>
      <c r="AN257">
        <v>0</v>
      </c>
      <c r="AO257">
        <v>0</v>
      </c>
      <c r="AP257">
        <v>4480</v>
      </c>
      <c r="AT257" t="str">
        <f>T("9791159289545")</f>
        <v>9791159289545</v>
      </c>
      <c r="AV257" t="str">
        <f>T("판타지 e북 &gt; 퓨전 판타지")</f>
        <v>판타지 e북 &gt; 퓨전 판타지</v>
      </c>
    </row>
    <row r="258" spans="1:48" x14ac:dyDescent="0.4">
      <c r="A258">
        <v>2313007047</v>
      </c>
      <c r="B258">
        <v>2313007079</v>
      </c>
      <c r="C258" t="str">
        <f>T("[e북]삼국지 호접몽전 4부 3권")</f>
        <v>[e북]삼국지 호접몽전 4부 3권</v>
      </c>
      <c r="D258" t="str">
        <f>T("33")</f>
        <v>33</v>
      </c>
      <c r="E258" t="str">
        <f>T("청빙")</f>
        <v>청빙</v>
      </c>
      <c r="H258" t="str">
        <f t="shared" si="47"/>
        <v>스토리위즈</v>
      </c>
      <c r="I258" t="str">
        <f>T("[e북]삼국지 호접몽전")</f>
        <v>[e북]삼국지 호접몽전</v>
      </c>
      <c r="J258">
        <v>3200</v>
      </c>
      <c r="K258">
        <v>6400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6400</v>
      </c>
      <c r="AH258">
        <v>2</v>
      </c>
      <c r="AI258">
        <v>0</v>
      </c>
      <c r="AJ258">
        <v>0</v>
      </c>
      <c r="AK258">
        <v>6400</v>
      </c>
      <c r="AL258">
        <v>0</v>
      </c>
      <c r="AM258">
        <v>0</v>
      </c>
      <c r="AN258">
        <v>0</v>
      </c>
      <c r="AO258">
        <v>0</v>
      </c>
      <c r="AP258">
        <v>4480</v>
      </c>
      <c r="AT258" t="str">
        <f>T("9791159289552")</f>
        <v>9791159289552</v>
      </c>
      <c r="AV258" t="str">
        <f>T("판타지 e북 &gt; 퓨전 판타지")</f>
        <v>판타지 e북 &gt; 퓨전 판타지</v>
      </c>
    </row>
    <row r="259" spans="1:48" x14ac:dyDescent="0.4">
      <c r="A259">
        <v>2313007047</v>
      </c>
      <c r="B259">
        <v>2313007080</v>
      </c>
      <c r="C259" t="str">
        <f>T("[e북]삼국지 호접몽전 4부 4권 (완결)")</f>
        <v>[e북]삼국지 호접몽전 4부 4권 (완결)</v>
      </c>
      <c r="D259" t="str">
        <f>T("34")</f>
        <v>34</v>
      </c>
      <c r="E259" t="str">
        <f>T("청빙")</f>
        <v>청빙</v>
      </c>
      <c r="H259" t="str">
        <f t="shared" si="47"/>
        <v>스토리위즈</v>
      </c>
      <c r="I259" t="str">
        <f>T("[e북]삼국지 호접몽전")</f>
        <v>[e북]삼국지 호접몽전</v>
      </c>
      <c r="J259">
        <v>3200</v>
      </c>
      <c r="K259">
        <v>6400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6400</v>
      </c>
      <c r="AH259">
        <v>2</v>
      </c>
      <c r="AI259">
        <v>0</v>
      </c>
      <c r="AJ259">
        <v>0</v>
      </c>
      <c r="AK259">
        <v>6400</v>
      </c>
      <c r="AL259">
        <v>0</v>
      </c>
      <c r="AM259">
        <v>0</v>
      </c>
      <c r="AN259">
        <v>0</v>
      </c>
      <c r="AO259">
        <v>0</v>
      </c>
      <c r="AP259">
        <v>4480</v>
      </c>
      <c r="AT259" t="str">
        <f>T("9791159289569")</f>
        <v>9791159289569</v>
      </c>
      <c r="AV259" t="str">
        <f>T("판타지 e북 &gt; 퓨전 판타지")</f>
        <v>판타지 e북 &gt; 퓨전 판타지</v>
      </c>
    </row>
    <row r="260" spans="1:48" x14ac:dyDescent="0.4">
      <c r="A260">
        <v>2313009986</v>
      </c>
      <c r="B260">
        <v>2313009988</v>
      </c>
      <c r="C260" t="str">
        <f>T("[e북]리얼 머니 3권")</f>
        <v>[e북]리얼 머니 3권</v>
      </c>
      <c r="D260" t="str">
        <f>T("3")</f>
        <v>3</v>
      </c>
      <c r="E260" t="str">
        <f>T("진문")</f>
        <v>진문</v>
      </c>
      <c r="H260" t="str">
        <f t="shared" si="47"/>
        <v>스토리위즈</v>
      </c>
      <c r="I260" t="str">
        <f>T("[e북]리얼 머니")</f>
        <v>[e북]리얼 머니</v>
      </c>
      <c r="J260">
        <v>3200</v>
      </c>
      <c r="K260">
        <v>6400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6400</v>
      </c>
      <c r="AH260">
        <v>2</v>
      </c>
      <c r="AI260">
        <v>0</v>
      </c>
      <c r="AJ260">
        <v>0</v>
      </c>
      <c r="AK260">
        <v>6400</v>
      </c>
      <c r="AL260">
        <v>0</v>
      </c>
      <c r="AM260">
        <v>0</v>
      </c>
      <c r="AN260">
        <v>0</v>
      </c>
      <c r="AO260">
        <v>0</v>
      </c>
      <c r="AP260">
        <v>4480</v>
      </c>
      <c r="AT260" t="str">
        <f>T("9791166068102")</f>
        <v>9791166068102</v>
      </c>
      <c r="AV260" t="str">
        <f t="shared" ref="AV260:AV276" si="48">T("판타지 e북 &gt; 현대 판타지")</f>
        <v>판타지 e북 &gt; 현대 판타지</v>
      </c>
    </row>
    <row r="261" spans="1:48" x14ac:dyDescent="0.4">
      <c r="A261">
        <v>2313009986</v>
      </c>
      <c r="B261">
        <v>2313009989</v>
      </c>
      <c r="C261" t="str">
        <f>T("[e북]리얼 머니 4권")</f>
        <v>[e북]리얼 머니 4권</v>
      </c>
      <c r="D261" t="str">
        <f>T("4")</f>
        <v>4</v>
      </c>
      <c r="E261" t="str">
        <f>T("진문")</f>
        <v>진문</v>
      </c>
      <c r="H261" t="str">
        <f t="shared" si="47"/>
        <v>스토리위즈</v>
      </c>
      <c r="I261" t="str">
        <f>T("[e북]리얼 머니")</f>
        <v>[e북]리얼 머니</v>
      </c>
      <c r="J261">
        <v>3200</v>
      </c>
      <c r="K261">
        <v>6400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6400</v>
      </c>
      <c r="AH261">
        <v>2</v>
      </c>
      <c r="AI261">
        <v>0</v>
      </c>
      <c r="AJ261">
        <v>0</v>
      </c>
      <c r="AK261">
        <v>6400</v>
      </c>
      <c r="AL261">
        <v>0</v>
      </c>
      <c r="AM261">
        <v>0</v>
      </c>
      <c r="AN261">
        <v>0</v>
      </c>
      <c r="AO261">
        <v>0</v>
      </c>
      <c r="AP261">
        <v>4480</v>
      </c>
      <c r="AT261" t="str">
        <f>T("9791166068119")</f>
        <v>9791166068119</v>
      </c>
      <c r="AV261" t="str">
        <f t="shared" si="48"/>
        <v>판타지 e북 &gt; 현대 판타지</v>
      </c>
    </row>
    <row r="262" spans="1:48" x14ac:dyDescent="0.4">
      <c r="A262">
        <v>2313009986</v>
      </c>
      <c r="B262">
        <v>2313009990</v>
      </c>
      <c r="C262" t="str">
        <f>T("[e북]리얼 머니 5권")</f>
        <v>[e북]리얼 머니 5권</v>
      </c>
      <c r="D262" t="str">
        <f>T("5")</f>
        <v>5</v>
      </c>
      <c r="E262" t="str">
        <f>T("진문")</f>
        <v>진문</v>
      </c>
      <c r="H262" t="str">
        <f t="shared" si="47"/>
        <v>스토리위즈</v>
      </c>
      <c r="I262" t="str">
        <f>T("[e북]리얼 머니")</f>
        <v>[e북]리얼 머니</v>
      </c>
      <c r="J262">
        <v>3200</v>
      </c>
      <c r="K262">
        <v>6400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6400</v>
      </c>
      <c r="AH262">
        <v>2</v>
      </c>
      <c r="AI262">
        <v>0</v>
      </c>
      <c r="AJ262">
        <v>0</v>
      </c>
      <c r="AK262">
        <v>6400</v>
      </c>
      <c r="AL262">
        <v>0</v>
      </c>
      <c r="AM262">
        <v>0</v>
      </c>
      <c r="AN262">
        <v>0</v>
      </c>
      <c r="AO262">
        <v>0</v>
      </c>
      <c r="AP262">
        <v>4480</v>
      </c>
      <c r="AT262" t="str">
        <f>T("9791166068126")</f>
        <v>9791166068126</v>
      </c>
      <c r="AV262" t="str">
        <f t="shared" si="48"/>
        <v>판타지 e북 &gt; 현대 판타지</v>
      </c>
    </row>
    <row r="263" spans="1:48" x14ac:dyDescent="0.4">
      <c r="A263">
        <v>2313009995</v>
      </c>
      <c r="B263">
        <v>2313009996</v>
      </c>
      <c r="C263" t="str">
        <f>T("[e북]이과생 둘이 회귀했다 2권")</f>
        <v>[e북]이과생 둘이 회귀했다 2권</v>
      </c>
      <c r="D263" t="str">
        <f>T("2")</f>
        <v>2</v>
      </c>
      <c r="E263" t="str">
        <f t="shared" ref="E263:E276" si="49">T("하이후")</f>
        <v>하이후</v>
      </c>
      <c r="H263" t="str">
        <f t="shared" si="47"/>
        <v>스토리위즈</v>
      </c>
      <c r="I263" t="str">
        <f t="shared" ref="I263:I276" si="50">T("[e북]이과생 둘이 회귀했다")</f>
        <v>[e북]이과생 둘이 회귀했다</v>
      </c>
      <c r="J263">
        <v>3200</v>
      </c>
      <c r="K263">
        <v>6400</v>
      </c>
      <c r="L263">
        <v>2</v>
      </c>
      <c r="M263">
        <v>0</v>
      </c>
      <c r="N263">
        <v>24120</v>
      </c>
      <c r="O263">
        <v>31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30520</v>
      </c>
      <c r="AH263">
        <v>33</v>
      </c>
      <c r="AI263">
        <v>0</v>
      </c>
      <c r="AJ263">
        <v>0</v>
      </c>
      <c r="AK263">
        <v>30520</v>
      </c>
      <c r="AL263">
        <v>0</v>
      </c>
      <c r="AM263">
        <v>0</v>
      </c>
      <c r="AN263">
        <v>0</v>
      </c>
      <c r="AO263">
        <v>0</v>
      </c>
      <c r="AP263">
        <v>21364</v>
      </c>
      <c r="AT263" t="str">
        <f>T("9791166065132")</f>
        <v>9791166065132</v>
      </c>
      <c r="AV263" t="str">
        <f t="shared" si="48"/>
        <v>판타지 e북 &gt; 현대 판타지</v>
      </c>
    </row>
    <row r="264" spans="1:48" x14ac:dyDescent="0.4">
      <c r="A264">
        <v>2313009995</v>
      </c>
      <c r="B264">
        <v>2313009997</v>
      </c>
      <c r="C264" t="str">
        <f>T("[e북]이과생 둘이 회귀했다 3권")</f>
        <v>[e북]이과생 둘이 회귀했다 3권</v>
      </c>
      <c r="D264" t="str">
        <f>T("3")</f>
        <v>3</v>
      </c>
      <c r="E264" t="str">
        <f t="shared" si="49"/>
        <v>하이후</v>
      </c>
      <c r="H264" t="str">
        <f t="shared" si="47"/>
        <v>스토리위즈</v>
      </c>
      <c r="I264" t="str">
        <f t="shared" si="50"/>
        <v>[e북]이과생 둘이 회귀했다</v>
      </c>
      <c r="J264">
        <v>3200</v>
      </c>
      <c r="K264">
        <v>6400</v>
      </c>
      <c r="L264">
        <v>2</v>
      </c>
      <c r="M264">
        <v>0</v>
      </c>
      <c r="N264">
        <v>18720</v>
      </c>
      <c r="O264">
        <v>25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25120</v>
      </c>
      <c r="AH264">
        <v>27</v>
      </c>
      <c r="AI264">
        <v>0</v>
      </c>
      <c r="AJ264">
        <v>0</v>
      </c>
      <c r="AK264">
        <v>25120</v>
      </c>
      <c r="AL264">
        <v>0</v>
      </c>
      <c r="AM264">
        <v>0</v>
      </c>
      <c r="AN264">
        <v>0</v>
      </c>
      <c r="AO264">
        <v>0</v>
      </c>
      <c r="AP264">
        <v>17584</v>
      </c>
      <c r="AT264" t="str">
        <f>T("9791166065149")</f>
        <v>9791166065149</v>
      </c>
      <c r="AV264" t="str">
        <f t="shared" si="48"/>
        <v>판타지 e북 &gt; 현대 판타지</v>
      </c>
    </row>
    <row r="265" spans="1:48" x14ac:dyDescent="0.4">
      <c r="A265">
        <v>2313009995</v>
      </c>
      <c r="B265">
        <v>2313009998</v>
      </c>
      <c r="C265" t="str">
        <f>T("[e북]이과생 둘이 회귀했다 4권")</f>
        <v>[e북]이과생 둘이 회귀했다 4권</v>
      </c>
      <c r="D265" t="str">
        <f>T("4")</f>
        <v>4</v>
      </c>
      <c r="E265" t="str">
        <f t="shared" si="49"/>
        <v>하이후</v>
      </c>
      <c r="H265" t="str">
        <f t="shared" si="47"/>
        <v>스토리위즈</v>
      </c>
      <c r="I265" t="str">
        <f t="shared" si="50"/>
        <v>[e북]이과생 둘이 회귀했다</v>
      </c>
      <c r="J265">
        <v>3200</v>
      </c>
      <c r="K265">
        <v>6400</v>
      </c>
      <c r="L265">
        <v>2</v>
      </c>
      <c r="M265">
        <v>0</v>
      </c>
      <c r="N265">
        <v>14220</v>
      </c>
      <c r="O265">
        <v>20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20620</v>
      </c>
      <c r="AH265">
        <v>22</v>
      </c>
      <c r="AI265">
        <v>0</v>
      </c>
      <c r="AJ265">
        <v>0</v>
      </c>
      <c r="AK265">
        <v>20620</v>
      </c>
      <c r="AL265">
        <v>0</v>
      </c>
      <c r="AM265">
        <v>0</v>
      </c>
      <c r="AN265">
        <v>0</v>
      </c>
      <c r="AO265">
        <v>0</v>
      </c>
      <c r="AP265">
        <v>14434</v>
      </c>
      <c r="AT265" t="str">
        <f>T("9791166065156")</f>
        <v>9791166065156</v>
      </c>
      <c r="AV265" t="str">
        <f t="shared" si="48"/>
        <v>판타지 e북 &gt; 현대 판타지</v>
      </c>
    </row>
    <row r="266" spans="1:48" x14ac:dyDescent="0.4">
      <c r="A266">
        <v>2313009995</v>
      </c>
      <c r="B266">
        <v>2313009999</v>
      </c>
      <c r="C266" t="str">
        <f>T("[e북]이과생 둘이 회귀했다 5권")</f>
        <v>[e북]이과생 둘이 회귀했다 5권</v>
      </c>
      <c r="D266" t="str">
        <f>T("5")</f>
        <v>5</v>
      </c>
      <c r="E266" t="str">
        <f t="shared" si="49"/>
        <v>하이후</v>
      </c>
      <c r="H266" t="str">
        <f t="shared" si="47"/>
        <v>스토리위즈</v>
      </c>
      <c r="I266" t="str">
        <f t="shared" si="50"/>
        <v>[e북]이과생 둘이 회귀했다</v>
      </c>
      <c r="J266">
        <v>3200</v>
      </c>
      <c r="K266">
        <v>6400</v>
      </c>
      <c r="L266">
        <v>2</v>
      </c>
      <c r="M266">
        <v>0</v>
      </c>
      <c r="N266">
        <v>12420</v>
      </c>
      <c r="O266">
        <v>18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18820</v>
      </c>
      <c r="AH266">
        <v>20</v>
      </c>
      <c r="AI266">
        <v>0</v>
      </c>
      <c r="AJ266">
        <v>0</v>
      </c>
      <c r="AK266">
        <v>18820</v>
      </c>
      <c r="AL266">
        <v>0</v>
      </c>
      <c r="AM266">
        <v>0</v>
      </c>
      <c r="AN266">
        <v>0</v>
      </c>
      <c r="AO266">
        <v>0</v>
      </c>
      <c r="AP266">
        <v>13174</v>
      </c>
      <c r="AT266" t="str">
        <f>T("9791166065163")</f>
        <v>9791166065163</v>
      </c>
      <c r="AV266" t="str">
        <f t="shared" si="48"/>
        <v>판타지 e북 &gt; 현대 판타지</v>
      </c>
    </row>
    <row r="267" spans="1:48" x14ac:dyDescent="0.4">
      <c r="A267">
        <v>2313009995</v>
      </c>
      <c r="B267">
        <v>2313010000</v>
      </c>
      <c r="C267" t="str">
        <f>T("[e북]이과생 둘이 회귀했다 6권")</f>
        <v>[e북]이과생 둘이 회귀했다 6권</v>
      </c>
      <c r="D267" t="str">
        <f>T("6")</f>
        <v>6</v>
      </c>
      <c r="E267" t="str">
        <f t="shared" si="49"/>
        <v>하이후</v>
      </c>
      <c r="H267" t="str">
        <f t="shared" si="47"/>
        <v>스토리위즈</v>
      </c>
      <c r="I267" t="str">
        <f t="shared" si="50"/>
        <v>[e북]이과생 둘이 회귀했다</v>
      </c>
      <c r="J267">
        <v>3200</v>
      </c>
      <c r="K267">
        <v>6400</v>
      </c>
      <c r="L267">
        <v>2</v>
      </c>
      <c r="M267">
        <v>0</v>
      </c>
      <c r="N267">
        <v>12420</v>
      </c>
      <c r="O267">
        <v>18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18820</v>
      </c>
      <c r="AH267">
        <v>20</v>
      </c>
      <c r="AI267">
        <v>0</v>
      </c>
      <c r="AJ267">
        <v>0</v>
      </c>
      <c r="AK267">
        <v>18820</v>
      </c>
      <c r="AL267">
        <v>0</v>
      </c>
      <c r="AM267">
        <v>0</v>
      </c>
      <c r="AN267">
        <v>0</v>
      </c>
      <c r="AO267">
        <v>0</v>
      </c>
      <c r="AP267">
        <v>13174</v>
      </c>
      <c r="AT267" t="str">
        <f>T("9791166065170")</f>
        <v>9791166065170</v>
      </c>
      <c r="AV267" t="str">
        <f t="shared" si="48"/>
        <v>판타지 e북 &gt; 현대 판타지</v>
      </c>
    </row>
    <row r="268" spans="1:48" x14ac:dyDescent="0.4">
      <c r="A268">
        <v>2313009995</v>
      </c>
      <c r="B268">
        <v>2313010001</v>
      </c>
      <c r="C268" t="str">
        <f>T("[e북]이과생 둘이 회귀했다 7권")</f>
        <v>[e북]이과생 둘이 회귀했다 7권</v>
      </c>
      <c r="D268" t="str">
        <f>T("7")</f>
        <v>7</v>
      </c>
      <c r="E268" t="str">
        <f t="shared" si="49"/>
        <v>하이후</v>
      </c>
      <c r="H268" t="str">
        <f t="shared" si="47"/>
        <v>스토리위즈</v>
      </c>
      <c r="I268" t="str">
        <f t="shared" si="50"/>
        <v>[e북]이과생 둘이 회귀했다</v>
      </c>
      <c r="J268">
        <v>3200</v>
      </c>
      <c r="K268">
        <v>6400</v>
      </c>
      <c r="L268">
        <v>2</v>
      </c>
      <c r="M268">
        <v>0</v>
      </c>
      <c r="N268">
        <v>12420</v>
      </c>
      <c r="O268">
        <v>18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18820</v>
      </c>
      <c r="AH268">
        <v>20</v>
      </c>
      <c r="AI268">
        <v>0</v>
      </c>
      <c r="AJ268">
        <v>0</v>
      </c>
      <c r="AK268">
        <v>18820</v>
      </c>
      <c r="AL268">
        <v>0</v>
      </c>
      <c r="AM268">
        <v>0</v>
      </c>
      <c r="AN268">
        <v>0</v>
      </c>
      <c r="AO268">
        <v>0</v>
      </c>
      <c r="AP268">
        <v>13174</v>
      </c>
      <c r="AT268" t="str">
        <f>T("9791166065187")</f>
        <v>9791166065187</v>
      </c>
      <c r="AV268" t="str">
        <f t="shared" si="48"/>
        <v>판타지 e북 &gt; 현대 판타지</v>
      </c>
    </row>
    <row r="269" spans="1:48" x14ac:dyDescent="0.4">
      <c r="A269">
        <v>2313009995</v>
      </c>
      <c r="B269">
        <v>2313010002</v>
      </c>
      <c r="C269" t="str">
        <f>T("[e북]이과생 둘이 회귀했다 8권")</f>
        <v>[e북]이과생 둘이 회귀했다 8권</v>
      </c>
      <c r="D269" t="str">
        <f>T("8")</f>
        <v>8</v>
      </c>
      <c r="E269" t="str">
        <f t="shared" si="49"/>
        <v>하이후</v>
      </c>
      <c r="H269" t="str">
        <f t="shared" si="47"/>
        <v>스토리위즈</v>
      </c>
      <c r="I269" t="str">
        <f t="shared" si="50"/>
        <v>[e북]이과생 둘이 회귀했다</v>
      </c>
      <c r="J269">
        <v>3200</v>
      </c>
      <c r="K269">
        <v>6400</v>
      </c>
      <c r="L269">
        <v>2</v>
      </c>
      <c r="M269">
        <v>0</v>
      </c>
      <c r="N269">
        <v>12420</v>
      </c>
      <c r="O269">
        <v>18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18820</v>
      </c>
      <c r="AH269">
        <v>20</v>
      </c>
      <c r="AI269">
        <v>0</v>
      </c>
      <c r="AJ269">
        <v>0</v>
      </c>
      <c r="AK269">
        <v>18820</v>
      </c>
      <c r="AL269">
        <v>0</v>
      </c>
      <c r="AM269">
        <v>0</v>
      </c>
      <c r="AN269">
        <v>0</v>
      </c>
      <c r="AO269">
        <v>0</v>
      </c>
      <c r="AP269">
        <v>13174</v>
      </c>
      <c r="AT269" t="str">
        <f>T("9791166065194")</f>
        <v>9791166065194</v>
      </c>
      <c r="AV269" t="str">
        <f t="shared" si="48"/>
        <v>판타지 e북 &gt; 현대 판타지</v>
      </c>
    </row>
    <row r="270" spans="1:48" x14ac:dyDescent="0.4">
      <c r="A270">
        <v>2313009995</v>
      </c>
      <c r="B270">
        <v>2313010003</v>
      </c>
      <c r="C270" t="str">
        <f>T("[e북]이과생 둘이 회귀했다 9권")</f>
        <v>[e북]이과생 둘이 회귀했다 9권</v>
      </c>
      <c r="D270" t="str">
        <f>T("9")</f>
        <v>9</v>
      </c>
      <c r="E270" t="str">
        <f t="shared" si="49"/>
        <v>하이후</v>
      </c>
      <c r="H270" t="str">
        <f t="shared" si="47"/>
        <v>스토리위즈</v>
      </c>
      <c r="I270" t="str">
        <f t="shared" si="50"/>
        <v>[e북]이과생 둘이 회귀했다</v>
      </c>
      <c r="J270">
        <v>3200</v>
      </c>
      <c r="K270">
        <v>6400</v>
      </c>
      <c r="L270">
        <v>2</v>
      </c>
      <c r="M270">
        <v>0</v>
      </c>
      <c r="N270">
        <v>12420</v>
      </c>
      <c r="O270">
        <v>18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18820</v>
      </c>
      <c r="AH270">
        <v>20</v>
      </c>
      <c r="AI270">
        <v>0</v>
      </c>
      <c r="AJ270">
        <v>0</v>
      </c>
      <c r="AK270">
        <v>18820</v>
      </c>
      <c r="AL270">
        <v>0</v>
      </c>
      <c r="AM270">
        <v>0</v>
      </c>
      <c r="AN270">
        <v>0</v>
      </c>
      <c r="AO270">
        <v>0</v>
      </c>
      <c r="AP270">
        <v>13174</v>
      </c>
      <c r="AT270" t="str">
        <f>T("9791166065200")</f>
        <v>9791166065200</v>
      </c>
      <c r="AV270" t="str">
        <f t="shared" si="48"/>
        <v>판타지 e북 &gt; 현대 판타지</v>
      </c>
    </row>
    <row r="271" spans="1:48" x14ac:dyDescent="0.4">
      <c r="A271">
        <v>2313009995</v>
      </c>
      <c r="B271">
        <v>2313010004</v>
      </c>
      <c r="C271" t="str">
        <f>T("[e북]이과생 둘이 회귀했다 10권")</f>
        <v>[e북]이과생 둘이 회귀했다 10권</v>
      </c>
      <c r="D271" t="str">
        <f>T("10")</f>
        <v>10</v>
      </c>
      <c r="E271" t="str">
        <f t="shared" si="49"/>
        <v>하이후</v>
      </c>
      <c r="H271" t="str">
        <f t="shared" si="47"/>
        <v>스토리위즈</v>
      </c>
      <c r="I271" t="str">
        <f t="shared" si="50"/>
        <v>[e북]이과생 둘이 회귀했다</v>
      </c>
      <c r="J271">
        <v>3200</v>
      </c>
      <c r="K271">
        <v>6400</v>
      </c>
      <c r="L271">
        <v>2</v>
      </c>
      <c r="M271">
        <v>0</v>
      </c>
      <c r="N271">
        <v>12420</v>
      </c>
      <c r="O271">
        <v>18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18820</v>
      </c>
      <c r="AH271">
        <v>20</v>
      </c>
      <c r="AI271">
        <v>0</v>
      </c>
      <c r="AJ271">
        <v>0</v>
      </c>
      <c r="AK271">
        <v>18820</v>
      </c>
      <c r="AL271">
        <v>0</v>
      </c>
      <c r="AM271">
        <v>0</v>
      </c>
      <c r="AN271">
        <v>0</v>
      </c>
      <c r="AO271">
        <v>0</v>
      </c>
      <c r="AP271">
        <v>13174</v>
      </c>
      <c r="AT271" t="str">
        <f>T("9791166065217")</f>
        <v>9791166065217</v>
      </c>
      <c r="AV271" t="str">
        <f t="shared" si="48"/>
        <v>판타지 e북 &gt; 현대 판타지</v>
      </c>
    </row>
    <row r="272" spans="1:48" x14ac:dyDescent="0.4">
      <c r="A272">
        <v>2313009995</v>
      </c>
      <c r="B272">
        <v>2313010005</v>
      </c>
      <c r="C272" t="str">
        <f>T("[e북]이과생 둘이 회귀했다 11권")</f>
        <v>[e북]이과생 둘이 회귀했다 11권</v>
      </c>
      <c r="D272" t="str">
        <f>T("11")</f>
        <v>11</v>
      </c>
      <c r="E272" t="str">
        <f t="shared" si="49"/>
        <v>하이후</v>
      </c>
      <c r="H272" t="str">
        <f t="shared" si="47"/>
        <v>스토리위즈</v>
      </c>
      <c r="I272" t="str">
        <f t="shared" si="50"/>
        <v>[e북]이과생 둘이 회귀했다</v>
      </c>
      <c r="J272">
        <v>3200</v>
      </c>
      <c r="K272">
        <v>6400</v>
      </c>
      <c r="L272">
        <v>2</v>
      </c>
      <c r="M272">
        <v>0</v>
      </c>
      <c r="N272">
        <v>13320</v>
      </c>
      <c r="O272">
        <v>19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19720</v>
      </c>
      <c r="AH272">
        <v>21</v>
      </c>
      <c r="AI272">
        <v>0</v>
      </c>
      <c r="AJ272">
        <v>0</v>
      </c>
      <c r="AK272">
        <v>19720</v>
      </c>
      <c r="AL272">
        <v>0</v>
      </c>
      <c r="AM272">
        <v>0</v>
      </c>
      <c r="AN272">
        <v>0</v>
      </c>
      <c r="AO272">
        <v>0</v>
      </c>
      <c r="AP272">
        <v>13804</v>
      </c>
      <c r="AT272" t="str">
        <f>T("9791166065224")</f>
        <v>9791166065224</v>
      </c>
      <c r="AV272" t="str">
        <f t="shared" si="48"/>
        <v>판타지 e북 &gt; 현대 판타지</v>
      </c>
    </row>
    <row r="273" spans="1:48" x14ac:dyDescent="0.4">
      <c r="A273">
        <v>2313009995</v>
      </c>
      <c r="B273">
        <v>2313010006</v>
      </c>
      <c r="C273" t="str">
        <f>T("[e북]이과생 둘이 회귀했다 12권")</f>
        <v>[e북]이과생 둘이 회귀했다 12권</v>
      </c>
      <c r="D273" t="str">
        <f>T("12")</f>
        <v>12</v>
      </c>
      <c r="E273" t="str">
        <f t="shared" si="49"/>
        <v>하이후</v>
      </c>
      <c r="H273" t="str">
        <f t="shared" si="47"/>
        <v>스토리위즈</v>
      </c>
      <c r="I273" t="str">
        <f t="shared" si="50"/>
        <v>[e북]이과생 둘이 회귀했다</v>
      </c>
      <c r="J273">
        <v>3200</v>
      </c>
      <c r="K273">
        <v>6400</v>
      </c>
      <c r="L273">
        <v>2</v>
      </c>
      <c r="M273">
        <v>0</v>
      </c>
      <c r="N273">
        <v>11520</v>
      </c>
      <c r="O273">
        <v>17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17920</v>
      </c>
      <c r="AH273">
        <v>19</v>
      </c>
      <c r="AI273">
        <v>0</v>
      </c>
      <c r="AJ273">
        <v>0</v>
      </c>
      <c r="AK273">
        <v>17920</v>
      </c>
      <c r="AL273">
        <v>0</v>
      </c>
      <c r="AM273">
        <v>0</v>
      </c>
      <c r="AN273">
        <v>0</v>
      </c>
      <c r="AO273">
        <v>0</v>
      </c>
      <c r="AP273">
        <v>12544</v>
      </c>
      <c r="AT273" t="str">
        <f>T("9791166065231")</f>
        <v>9791166065231</v>
      </c>
      <c r="AV273" t="str">
        <f t="shared" si="48"/>
        <v>판타지 e북 &gt; 현대 판타지</v>
      </c>
    </row>
    <row r="274" spans="1:48" x14ac:dyDescent="0.4">
      <c r="A274">
        <v>2313009995</v>
      </c>
      <c r="B274">
        <v>2313010007</v>
      </c>
      <c r="C274" t="str">
        <f>T("[e북]이과생 둘이 회귀했다 13권")</f>
        <v>[e북]이과생 둘이 회귀했다 13권</v>
      </c>
      <c r="D274" t="str">
        <f>T("13")</f>
        <v>13</v>
      </c>
      <c r="E274" t="str">
        <f t="shared" si="49"/>
        <v>하이후</v>
      </c>
      <c r="H274" t="str">
        <f t="shared" si="47"/>
        <v>스토리위즈</v>
      </c>
      <c r="I274" t="str">
        <f t="shared" si="50"/>
        <v>[e북]이과생 둘이 회귀했다</v>
      </c>
      <c r="J274">
        <v>3200</v>
      </c>
      <c r="K274">
        <v>6400</v>
      </c>
      <c r="L274">
        <v>2</v>
      </c>
      <c r="M274">
        <v>0</v>
      </c>
      <c r="N274">
        <v>10620</v>
      </c>
      <c r="O274">
        <v>16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17020</v>
      </c>
      <c r="AH274">
        <v>18</v>
      </c>
      <c r="AI274">
        <v>0</v>
      </c>
      <c r="AJ274">
        <v>0</v>
      </c>
      <c r="AK274">
        <v>17020</v>
      </c>
      <c r="AL274">
        <v>0</v>
      </c>
      <c r="AM274">
        <v>0</v>
      </c>
      <c r="AN274">
        <v>0</v>
      </c>
      <c r="AO274">
        <v>0</v>
      </c>
      <c r="AP274">
        <v>11914</v>
      </c>
      <c r="AT274" t="str">
        <f>T("9791166065248")</f>
        <v>9791166065248</v>
      </c>
      <c r="AV274" t="str">
        <f t="shared" si="48"/>
        <v>판타지 e북 &gt; 현대 판타지</v>
      </c>
    </row>
    <row r="275" spans="1:48" x14ac:dyDescent="0.4">
      <c r="A275">
        <v>2313009995</v>
      </c>
      <c r="B275">
        <v>2313010008</v>
      </c>
      <c r="C275" t="str">
        <f>T("[e북]이과생 둘이 회귀했다 14권")</f>
        <v>[e북]이과생 둘이 회귀했다 14권</v>
      </c>
      <c r="D275" t="str">
        <f>T("14")</f>
        <v>14</v>
      </c>
      <c r="E275" t="str">
        <f t="shared" si="49"/>
        <v>하이후</v>
      </c>
      <c r="H275" t="str">
        <f t="shared" si="47"/>
        <v>스토리위즈</v>
      </c>
      <c r="I275" t="str">
        <f t="shared" si="50"/>
        <v>[e북]이과생 둘이 회귀했다</v>
      </c>
      <c r="J275">
        <v>3200</v>
      </c>
      <c r="K275">
        <v>6400</v>
      </c>
      <c r="L275">
        <v>2</v>
      </c>
      <c r="M275">
        <v>0</v>
      </c>
      <c r="N275">
        <v>10620</v>
      </c>
      <c r="O275">
        <v>16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17020</v>
      </c>
      <c r="AH275">
        <v>18</v>
      </c>
      <c r="AI275">
        <v>0</v>
      </c>
      <c r="AJ275">
        <v>0</v>
      </c>
      <c r="AK275">
        <v>17020</v>
      </c>
      <c r="AL275">
        <v>0</v>
      </c>
      <c r="AM275">
        <v>0</v>
      </c>
      <c r="AN275">
        <v>0</v>
      </c>
      <c r="AO275">
        <v>0</v>
      </c>
      <c r="AP275">
        <v>11914</v>
      </c>
      <c r="AT275" t="str">
        <f>T("9791166065255")</f>
        <v>9791166065255</v>
      </c>
      <c r="AV275" t="str">
        <f t="shared" si="48"/>
        <v>판타지 e북 &gt; 현대 판타지</v>
      </c>
    </row>
    <row r="276" spans="1:48" x14ac:dyDescent="0.4">
      <c r="A276">
        <v>2313009995</v>
      </c>
      <c r="B276">
        <v>2313010009</v>
      </c>
      <c r="C276" t="str">
        <f>T("[e북]이과생 둘이 회귀했다 15권 (완결)")</f>
        <v>[e북]이과생 둘이 회귀했다 15권 (완결)</v>
      </c>
      <c r="D276" t="str">
        <f>T("15")</f>
        <v>15</v>
      </c>
      <c r="E276" t="str">
        <f t="shared" si="49"/>
        <v>하이후</v>
      </c>
      <c r="H276" t="str">
        <f t="shared" si="47"/>
        <v>스토리위즈</v>
      </c>
      <c r="I276" t="str">
        <f t="shared" si="50"/>
        <v>[e북]이과생 둘이 회귀했다</v>
      </c>
      <c r="J276">
        <v>3200</v>
      </c>
      <c r="K276">
        <v>6400</v>
      </c>
      <c r="L276">
        <v>2</v>
      </c>
      <c r="M276">
        <v>0</v>
      </c>
      <c r="N276">
        <v>11520</v>
      </c>
      <c r="O276">
        <v>17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17920</v>
      </c>
      <c r="AH276">
        <v>19</v>
      </c>
      <c r="AI276">
        <v>0</v>
      </c>
      <c r="AJ276">
        <v>0</v>
      </c>
      <c r="AK276">
        <v>17920</v>
      </c>
      <c r="AL276">
        <v>0</v>
      </c>
      <c r="AM276">
        <v>0</v>
      </c>
      <c r="AN276">
        <v>0</v>
      </c>
      <c r="AO276">
        <v>0</v>
      </c>
      <c r="AP276">
        <v>12544</v>
      </c>
      <c r="AT276" t="str">
        <f>T("9791166065262")</f>
        <v>9791166065262</v>
      </c>
      <c r="AV276" t="str">
        <f t="shared" si="48"/>
        <v>판타지 e북 &gt; 현대 판타지</v>
      </c>
    </row>
    <row r="277" spans="1:48" x14ac:dyDescent="0.4">
      <c r="A277">
        <v>2313011372</v>
      </c>
      <c r="B277">
        <v>2313011373</v>
      </c>
      <c r="C277" t="str">
        <f>T("[e북]라스트 서바이버 : 진화로 살아남아라! 2권")</f>
        <v>[e북]라스트 서바이버 : 진화로 살아남아라! 2권</v>
      </c>
      <c r="D277" t="str">
        <f>T("2")</f>
        <v>2</v>
      </c>
      <c r="E277" t="str">
        <f t="shared" ref="E277:E282" si="51">T("청빙")</f>
        <v>청빙</v>
      </c>
      <c r="H277" t="str">
        <f t="shared" si="47"/>
        <v>스토리위즈</v>
      </c>
      <c r="I277" t="str">
        <f t="shared" ref="I277:I282" si="52">T("[e북]라스트 서바이버 : 진화로 살아남아라!")</f>
        <v>[e북]라스트 서바이버 : 진화로 살아남아라!</v>
      </c>
      <c r="J277">
        <v>3200</v>
      </c>
      <c r="K277">
        <v>6400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6400</v>
      </c>
      <c r="AH277">
        <v>2</v>
      </c>
      <c r="AI277">
        <v>0</v>
      </c>
      <c r="AJ277">
        <v>0</v>
      </c>
      <c r="AK277">
        <v>6400</v>
      </c>
      <c r="AL277">
        <v>0</v>
      </c>
      <c r="AM277">
        <v>0</v>
      </c>
      <c r="AN277">
        <v>0</v>
      </c>
      <c r="AO277">
        <v>0</v>
      </c>
      <c r="AP277">
        <v>4480</v>
      </c>
      <c r="AT277" t="str">
        <f>T("9791137600553")</f>
        <v>9791137600553</v>
      </c>
      <c r="AV277" t="str">
        <f t="shared" ref="AV277:AV282" si="53">T("판타지 e북 &gt; 퓨전 판타지")</f>
        <v>판타지 e북 &gt; 퓨전 판타지</v>
      </c>
    </row>
    <row r="278" spans="1:48" x14ac:dyDescent="0.4">
      <c r="A278">
        <v>2313011372</v>
      </c>
      <c r="B278">
        <v>2313011375</v>
      </c>
      <c r="C278" t="str">
        <f>T("[e북]라스트 서바이버 : 진화로 살아남아라! 4권")</f>
        <v>[e북]라스트 서바이버 : 진화로 살아남아라! 4권</v>
      </c>
      <c r="D278" t="str">
        <f>T("4")</f>
        <v>4</v>
      </c>
      <c r="E278" t="str">
        <f t="shared" si="51"/>
        <v>청빙</v>
      </c>
      <c r="H278" t="str">
        <f t="shared" si="47"/>
        <v>스토리위즈</v>
      </c>
      <c r="I278" t="str">
        <f t="shared" si="52"/>
        <v>[e북]라스트 서바이버 : 진화로 살아남아라!</v>
      </c>
      <c r="J278">
        <v>3200</v>
      </c>
      <c r="K278">
        <v>6400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6400</v>
      </c>
      <c r="AH278">
        <v>2</v>
      </c>
      <c r="AI278">
        <v>0</v>
      </c>
      <c r="AJ278">
        <v>0</v>
      </c>
      <c r="AK278">
        <v>6400</v>
      </c>
      <c r="AL278">
        <v>0</v>
      </c>
      <c r="AM278">
        <v>0</v>
      </c>
      <c r="AN278">
        <v>0</v>
      </c>
      <c r="AO278">
        <v>0</v>
      </c>
      <c r="AP278">
        <v>4480</v>
      </c>
      <c r="AT278" t="str">
        <f>T("9791137600577")</f>
        <v>9791137600577</v>
      </c>
      <c r="AV278" t="str">
        <f t="shared" si="53"/>
        <v>판타지 e북 &gt; 퓨전 판타지</v>
      </c>
    </row>
    <row r="279" spans="1:48" x14ac:dyDescent="0.4">
      <c r="A279">
        <v>2313011372</v>
      </c>
      <c r="B279">
        <v>2313011379</v>
      </c>
      <c r="C279" t="str">
        <f>T("[e북]라스트 서바이버 : 진화로 살아남아라! 8권")</f>
        <v>[e북]라스트 서바이버 : 진화로 살아남아라! 8권</v>
      </c>
      <c r="D279" t="str">
        <f>T("8")</f>
        <v>8</v>
      </c>
      <c r="E279" t="str">
        <f t="shared" si="51"/>
        <v>청빙</v>
      </c>
      <c r="H279" t="str">
        <f t="shared" si="47"/>
        <v>스토리위즈</v>
      </c>
      <c r="I279" t="str">
        <f t="shared" si="52"/>
        <v>[e북]라스트 서바이버 : 진화로 살아남아라!</v>
      </c>
      <c r="J279">
        <v>3200</v>
      </c>
      <c r="K279">
        <v>6400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6400</v>
      </c>
      <c r="AH279">
        <v>2</v>
      </c>
      <c r="AI279">
        <v>0</v>
      </c>
      <c r="AJ279">
        <v>0</v>
      </c>
      <c r="AK279">
        <v>6400</v>
      </c>
      <c r="AL279">
        <v>0</v>
      </c>
      <c r="AM279">
        <v>0</v>
      </c>
      <c r="AN279">
        <v>0</v>
      </c>
      <c r="AO279">
        <v>0</v>
      </c>
      <c r="AP279">
        <v>4480</v>
      </c>
      <c r="AT279" t="str">
        <f>T("9791137600614")</f>
        <v>9791137600614</v>
      </c>
      <c r="AV279" t="str">
        <f t="shared" si="53"/>
        <v>판타지 e북 &gt; 퓨전 판타지</v>
      </c>
    </row>
    <row r="280" spans="1:48" x14ac:dyDescent="0.4">
      <c r="A280">
        <v>2313011372</v>
      </c>
      <c r="B280">
        <v>2313011380</v>
      </c>
      <c r="C280" t="str">
        <f>T("[e북]라스트 서바이버 : 진화로 살아남아라! 9권")</f>
        <v>[e북]라스트 서바이버 : 진화로 살아남아라! 9권</v>
      </c>
      <c r="D280" t="str">
        <f>T("9")</f>
        <v>9</v>
      </c>
      <c r="E280" t="str">
        <f t="shared" si="51"/>
        <v>청빙</v>
      </c>
      <c r="H280" t="str">
        <f t="shared" si="47"/>
        <v>스토리위즈</v>
      </c>
      <c r="I280" t="str">
        <f t="shared" si="52"/>
        <v>[e북]라스트 서바이버 : 진화로 살아남아라!</v>
      </c>
      <c r="J280">
        <v>3200</v>
      </c>
      <c r="K280">
        <v>6400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6400</v>
      </c>
      <c r="AH280">
        <v>2</v>
      </c>
      <c r="AI280">
        <v>0</v>
      </c>
      <c r="AJ280">
        <v>0</v>
      </c>
      <c r="AK280">
        <v>6400</v>
      </c>
      <c r="AL280">
        <v>0</v>
      </c>
      <c r="AM280">
        <v>0</v>
      </c>
      <c r="AN280">
        <v>0</v>
      </c>
      <c r="AO280">
        <v>0</v>
      </c>
      <c r="AP280">
        <v>4480</v>
      </c>
      <c r="AT280" t="str">
        <f>T("9791137600621")</f>
        <v>9791137600621</v>
      </c>
      <c r="AV280" t="str">
        <f t="shared" si="53"/>
        <v>판타지 e북 &gt; 퓨전 판타지</v>
      </c>
    </row>
    <row r="281" spans="1:48" x14ac:dyDescent="0.4">
      <c r="A281">
        <v>2313011372</v>
      </c>
      <c r="B281">
        <v>2313011381</v>
      </c>
      <c r="C281" t="str">
        <f>T("[e북]라스트 서바이버 : 진화로 살아남아라! 10권")</f>
        <v>[e북]라스트 서바이버 : 진화로 살아남아라! 10권</v>
      </c>
      <c r="D281" t="str">
        <f>T("10")</f>
        <v>10</v>
      </c>
      <c r="E281" t="str">
        <f t="shared" si="51"/>
        <v>청빙</v>
      </c>
      <c r="H281" t="str">
        <f t="shared" si="47"/>
        <v>스토리위즈</v>
      </c>
      <c r="I281" t="str">
        <f t="shared" si="52"/>
        <v>[e북]라스트 서바이버 : 진화로 살아남아라!</v>
      </c>
      <c r="J281">
        <v>3200</v>
      </c>
      <c r="K281">
        <v>6400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6400</v>
      </c>
      <c r="AH281">
        <v>2</v>
      </c>
      <c r="AI281">
        <v>0</v>
      </c>
      <c r="AJ281">
        <v>0</v>
      </c>
      <c r="AK281">
        <v>6400</v>
      </c>
      <c r="AL281">
        <v>0</v>
      </c>
      <c r="AM281">
        <v>0</v>
      </c>
      <c r="AN281">
        <v>0</v>
      </c>
      <c r="AO281">
        <v>0</v>
      </c>
      <c r="AP281">
        <v>4480</v>
      </c>
      <c r="AT281" t="str">
        <f>T("9791137600638")</f>
        <v>9791137600638</v>
      </c>
      <c r="AV281" t="str">
        <f t="shared" si="53"/>
        <v>판타지 e북 &gt; 퓨전 판타지</v>
      </c>
    </row>
    <row r="282" spans="1:48" x14ac:dyDescent="0.4">
      <c r="A282">
        <v>2313011372</v>
      </c>
      <c r="B282">
        <v>2313011382</v>
      </c>
      <c r="C282" t="str">
        <f>T("[e북]라스트 서바이버 : 진화로 살아남아라! 11권")</f>
        <v>[e북]라스트 서바이버 : 진화로 살아남아라! 11권</v>
      </c>
      <c r="D282" t="str">
        <f>T("11")</f>
        <v>11</v>
      </c>
      <c r="E282" t="str">
        <f t="shared" si="51"/>
        <v>청빙</v>
      </c>
      <c r="H282" t="str">
        <f t="shared" si="47"/>
        <v>스토리위즈</v>
      </c>
      <c r="I282" t="str">
        <f t="shared" si="52"/>
        <v>[e북]라스트 서바이버 : 진화로 살아남아라!</v>
      </c>
      <c r="J282">
        <v>3200</v>
      </c>
      <c r="K282">
        <v>6400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6400</v>
      </c>
      <c r="AH282">
        <v>2</v>
      </c>
      <c r="AI282">
        <v>0</v>
      </c>
      <c r="AJ282">
        <v>0</v>
      </c>
      <c r="AK282">
        <v>6400</v>
      </c>
      <c r="AL282">
        <v>0</v>
      </c>
      <c r="AM282">
        <v>0</v>
      </c>
      <c r="AN282">
        <v>0</v>
      </c>
      <c r="AO282">
        <v>0</v>
      </c>
      <c r="AP282">
        <v>4480</v>
      </c>
      <c r="AT282" t="str">
        <f>T("9791137600645")</f>
        <v>9791137600645</v>
      </c>
      <c r="AV282" t="str">
        <f t="shared" si="53"/>
        <v>판타지 e북 &gt; 퓨전 판타지</v>
      </c>
    </row>
    <row r="283" spans="1:48" x14ac:dyDescent="0.4">
      <c r="A283">
        <v>2313012798</v>
      </c>
      <c r="B283">
        <v>2313012799</v>
      </c>
      <c r="C283" t="str">
        <f>T("[e북]강호유정 2")</f>
        <v>[e북]강호유정 2</v>
      </c>
      <c r="D283" t="str">
        <f>T("2")</f>
        <v>2</v>
      </c>
      <c r="E283" t="str">
        <f>T("무장")</f>
        <v>무장</v>
      </c>
      <c r="H283" t="str">
        <f t="shared" si="47"/>
        <v>스토리위즈</v>
      </c>
      <c r="I283" t="str">
        <f>T("[e북]강호유정")</f>
        <v>[e북]강호유정</v>
      </c>
      <c r="J283">
        <v>3200</v>
      </c>
      <c r="K283">
        <v>6400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6400</v>
      </c>
      <c r="AH283">
        <v>2</v>
      </c>
      <c r="AI283">
        <v>0</v>
      </c>
      <c r="AJ283">
        <v>0</v>
      </c>
      <c r="AK283">
        <v>6400</v>
      </c>
      <c r="AL283">
        <v>0</v>
      </c>
      <c r="AM283">
        <v>0</v>
      </c>
      <c r="AN283">
        <v>0</v>
      </c>
      <c r="AO283">
        <v>0</v>
      </c>
      <c r="AP283">
        <v>4480</v>
      </c>
      <c r="AR283" t="str">
        <f>T("9788928010622")</f>
        <v>9788928010622</v>
      </c>
      <c r="AT283" t="str">
        <f>T("9791137602618")</f>
        <v>9791137602618</v>
      </c>
      <c r="AU283" t="str">
        <f>T("BOOKCUBE.131100762")</f>
        <v>BOOKCUBE.131100762</v>
      </c>
      <c r="AV283" t="str">
        <f>T("판타지 e북 &gt; 신무협")</f>
        <v>판타지 e북 &gt; 신무협</v>
      </c>
    </row>
    <row r="284" spans="1:48" x14ac:dyDescent="0.4">
      <c r="A284">
        <v>2313015171</v>
      </c>
      <c r="B284">
        <v>2313015172</v>
      </c>
      <c r="C284" t="str">
        <f>T("[e북]도폐풍운록 2권")</f>
        <v>[e북]도폐풍운록 2권</v>
      </c>
      <c r="D284" t="str">
        <f>T("2")</f>
        <v>2</v>
      </c>
      <c r="E284" t="str">
        <f>T("무장")</f>
        <v>무장</v>
      </c>
      <c r="H284" t="str">
        <f t="shared" si="47"/>
        <v>스토리위즈</v>
      </c>
      <c r="I284" t="str">
        <f>T("[e북]도폐풍운록")</f>
        <v>[e북]도폐풍운록</v>
      </c>
      <c r="J284">
        <v>3200</v>
      </c>
      <c r="K284">
        <v>6400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6400</v>
      </c>
      <c r="AH284">
        <v>2</v>
      </c>
      <c r="AI284">
        <v>0</v>
      </c>
      <c r="AJ284">
        <v>0</v>
      </c>
      <c r="AK284">
        <v>6400</v>
      </c>
      <c r="AL284">
        <v>0</v>
      </c>
      <c r="AM284">
        <v>0</v>
      </c>
      <c r="AN284">
        <v>0</v>
      </c>
      <c r="AO284">
        <v>0</v>
      </c>
      <c r="AP284">
        <v>4480</v>
      </c>
      <c r="AR284" t="str">
        <f>T("0000000000000")</f>
        <v>0000000000000</v>
      </c>
      <c r="AT284" t="str">
        <f>T("9791137602816")</f>
        <v>9791137602816</v>
      </c>
      <c r="AV284" t="str">
        <f>T("판타지 e북 &gt; 신무협")</f>
        <v>판타지 e북 &gt; 신무협</v>
      </c>
    </row>
    <row r="285" spans="1:48" x14ac:dyDescent="0.4">
      <c r="A285">
        <v>2313016211</v>
      </c>
      <c r="B285">
        <v>2313016212</v>
      </c>
      <c r="C285" t="str">
        <f>T("[e북]버그 걸린 드래곤 2권")</f>
        <v>[e북]버그 걸린 드래곤 2권</v>
      </c>
      <c r="D285" t="str">
        <f>T("2")</f>
        <v>2</v>
      </c>
      <c r="E285" t="str">
        <f>T("폴딩")</f>
        <v>폴딩</v>
      </c>
      <c r="H285" t="str">
        <f t="shared" si="47"/>
        <v>스토리위즈</v>
      </c>
      <c r="I285" t="str">
        <f>T("[e북]버그 걸린 드래곤")</f>
        <v>[e북]버그 걸린 드래곤</v>
      </c>
      <c r="J285">
        <v>3200</v>
      </c>
      <c r="K285">
        <v>6400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-3200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6400</v>
      </c>
      <c r="AH285">
        <v>2</v>
      </c>
      <c r="AI285">
        <v>-3200</v>
      </c>
      <c r="AJ285">
        <v>1</v>
      </c>
      <c r="AK285">
        <v>6400</v>
      </c>
      <c r="AL285">
        <v>-3200</v>
      </c>
      <c r="AM285">
        <v>0</v>
      </c>
      <c r="AN285">
        <v>0</v>
      </c>
      <c r="AO285">
        <v>0</v>
      </c>
      <c r="AP285">
        <v>2240</v>
      </c>
      <c r="AR285" t="str">
        <f>T("0000000000000")</f>
        <v>0000000000000</v>
      </c>
      <c r="AT285" t="str">
        <f>T("9791137603813")</f>
        <v>9791137603813</v>
      </c>
      <c r="AV285" t="str">
        <f>T("판타지 e북 &gt; 퓨전 판타지")</f>
        <v>판타지 e북 &gt; 퓨전 판타지</v>
      </c>
    </row>
    <row r="286" spans="1:48" x14ac:dyDescent="0.4">
      <c r="A286">
        <v>2313017065</v>
      </c>
      <c r="B286">
        <v>2313017065</v>
      </c>
      <c r="C286" t="str">
        <f>T("[e북]로맨틱 크러시 1권")</f>
        <v>[e북]로맨틱 크러시 1권</v>
      </c>
      <c r="D286" t="str">
        <f>T("1")</f>
        <v>1</v>
      </c>
      <c r="E286" t="str">
        <f>T("망나니개")</f>
        <v>망나니개</v>
      </c>
      <c r="H286" t="str">
        <f>T("도서출판 태랑")</f>
        <v>도서출판 태랑</v>
      </c>
      <c r="I286" t="str">
        <f>T("[e북]로맨틱 크러시")</f>
        <v>[e북]로맨틱 크러시</v>
      </c>
      <c r="J286">
        <v>3200</v>
      </c>
      <c r="K286">
        <v>6400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6400</v>
      </c>
      <c r="AH286">
        <v>2</v>
      </c>
      <c r="AI286">
        <v>0</v>
      </c>
      <c r="AJ286">
        <v>0</v>
      </c>
      <c r="AK286">
        <v>6400</v>
      </c>
      <c r="AL286">
        <v>0</v>
      </c>
      <c r="AM286">
        <v>0</v>
      </c>
      <c r="AN286">
        <v>0</v>
      </c>
      <c r="AO286">
        <v>0</v>
      </c>
      <c r="AP286">
        <v>4480</v>
      </c>
      <c r="AT286" t="str">
        <f>T("9791164370894")</f>
        <v>9791164370894</v>
      </c>
      <c r="AV286" t="str">
        <f>T("BL 소설 e북 &gt; 판타지물")</f>
        <v>BL 소설 e북 &gt; 판타지물</v>
      </c>
    </row>
    <row r="287" spans="1:48" x14ac:dyDescent="0.4">
      <c r="A287">
        <v>2313017163</v>
      </c>
      <c r="B287">
        <v>2313017211</v>
      </c>
      <c r="C287" t="str">
        <f>T("친절하기는 얼어 죽을 48화")</f>
        <v>친절하기는 얼어 죽을 48화</v>
      </c>
      <c r="D287" t="str">
        <f>T("49")</f>
        <v>49</v>
      </c>
      <c r="E287" t="str">
        <f>T("솜목화")</f>
        <v>솜목화</v>
      </c>
      <c r="H287" t="str">
        <f>T("블레슈")</f>
        <v>블레슈</v>
      </c>
      <c r="I287" t="str">
        <f>T("친절하기는 얼어 죽을")</f>
        <v>친절하기는 얼어 죽을</v>
      </c>
      <c r="J287">
        <v>100</v>
      </c>
      <c r="K287">
        <v>6400</v>
      </c>
      <c r="L287">
        <v>64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6400</v>
      </c>
      <c r="AH287">
        <v>65</v>
      </c>
      <c r="AI287">
        <v>0</v>
      </c>
      <c r="AJ287">
        <v>0</v>
      </c>
      <c r="AK287">
        <v>6310</v>
      </c>
      <c r="AL287">
        <v>0</v>
      </c>
      <c r="AM287">
        <v>108</v>
      </c>
      <c r="AN287">
        <v>-32.4</v>
      </c>
      <c r="AO287">
        <v>0</v>
      </c>
      <c r="AP287">
        <v>3831.36</v>
      </c>
      <c r="AR287" t="str">
        <f t="shared" ref="AR287:AR300" si="54">T("0000000000000")</f>
        <v>0000000000000</v>
      </c>
      <c r="AT287" t="str">
        <f>T("9791137604131")</f>
        <v>9791137604131</v>
      </c>
      <c r="AV287" t="str">
        <f>T("로맨스 웹소설 &gt; 현대물")</f>
        <v>로맨스 웹소설 &gt; 현대물</v>
      </c>
    </row>
    <row r="288" spans="1:48" x14ac:dyDescent="0.4">
      <c r="A288">
        <v>2313017163</v>
      </c>
      <c r="B288">
        <v>2313017213</v>
      </c>
      <c r="C288" t="str">
        <f>T("친절하기는 얼어 죽을 50화")</f>
        <v>친절하기는 얼어 죽을 50화</v>
      </c>
      <c r="D288" t="str">
        <f>T("51")</f>
        <v>51</v>
      </c>
      <c r="E288" t="str">
        <f>T("솜목화")</f>
        <v>솜목화</v>
      </c>
      <c r="H288" t="str">
        <f>T("블레슈")</f>
        <v>블레슈</v>
      </c>
      <c r="I288" t="str">
        <f>T("친절하기는 얼어 죽을")</f>
        <v>친절하기는 얼어 죽을</v>
      </c>
      <c r="J288">
        <v>100</v>
      </c>
      <c r="K288">
        <v>6400</v>
      </c>
      <c r="L288">
        <v>64</v>
      </c>
      <c r="M288">
        <v>0</v>
      </c>
      <c r="N288">
        <v>100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6500</v>
      </c>
      <c r="AH288">
        <v>65</v>
      </c>
      <c r="AI288">
        <v>0</v>
      </c>
      <c r="AJ288">
        <v>0</v>
      </c>
      <c r="AK288">
        <v>6410</v>
      </c>
      <c r="AL288">
        <v>0</v>
      </c>
      <c r="AM288">
        <v>108</v>
      </c>
      <c r="AN288">
        <v>-32.4</v>
      </c>
      <c r="AO288">
        <v>0</v>
      </c>
      <c r="AP288">
        <v>3891.36</v>
      </c>
      <c r="AR288" t="str">
        <f t="shared" si="54"/>
        <v>0000000000000</v>
      </c>
      <c r="AT288" t="str">
        <f>T("9791137604131")</f>
        <v>9791137604131</v>
      </c>
      <c r="AV288" t="str">
        <f>T("로맨스 웹소설 &gt; 현대물")</f>
        <v>로맨스 웹소설 &gt; 현대물</v>
      </c>
    </row>
    <row r="289" spans="1:48" x14ac:dyDescent="0.4">
      <c r="A289">
        <v>2313017648</v>
      </c>
      <c r="B289">
        <v>2313017653</v>
      </c>
      <c r="C289" t="str">
        <f>T("[e북]올마스터가 된 비전서고 6권")</f>
        <v>[e북]올마스터가 된 비전서고 6권</v>
      </c>
      <c r="D289" t="str">
        <f>T("6")</f>
        <v>6</v>
      </c>
      <c r="E289" t="str">
        <f>T("글면증")</f>
        <v>글면증</v>
      </c>
      <c r="H289" t="str">
        <f t="shared" ref="H289:H296" si="55">T("스토리위즈")</f>
        <v>스토리위즈</v>
      </c>
      <c r="I289" t="str">
        <f>T("[e북]올마스터가 된 비전서고")</f>
        <v>[e북]올마스터가 된 비전서고</v>
      </c>
      <c r="J289">
        <v>3200</v>
      </c>
      <c r="K289">
        <v>6400</v>
      </c>
      <c r="L289">
        <v>2</v>
      </c>
      <c r="M289">
        <v>0</v>
      </c>
      <c r="N289">
        <v>20970</v>
      </c>
      <c r="O289">
        <v>25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-900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27370</v>
      </c>
      <c r="AH289">
        <v>27</v>
      </c>
      <c r="AI289">
        <v>-900</v>
      </c>
      <c r="AJ289">
        <v>1</v>
      </c>
      <c r="AK289">
        <v>27370</v>
      </c>
      <c r="AL289">
        <v>-900</v>
      </c>
      <c r="AM289">
        <v>0</v>
      </c>
      <c r="AN289">
        <v>0</v>
      </c>
      <c r="AO289">
        <v>0</v>
      </c>
      <c r="AP289">
        <v>18529</v>
      </c>
      <c r="AR289" t="str">
        <f t="shared" si="54"/>
        <v>0000000000000</v>
      </c>
      <c r="AT289" t="str">
        <f>T("9791137604308")</f>
        <v>9791137604308</v>
      </c>
      <c r="AV289" t="str">
        <f t="shared" ref="AV289:AV296" si="56">T("판타지 e북 &gt; 퓨전 판타지")</f>
        <v>판타지 e북 &gt; 퓨전 판타지</v>
      </c>
    </row>
    <row r="290" spans="1:48" x14ac:dyDescent="0.4">
      <c r="A290">
        <v>2313017648</v>
      </c>
      <c r="B290">
        <v>2313017654</v>
      </c>
      <c r="C290" t="str">
        <f>T("[e북]올마스터가 된 비전서고 7권")</f>
        <v>[e북]올마스터가 된 비전서고 7권</v>
      </c>
      <c r="D290" t="str">
        <f>T("7")</f>
        <v>7</v>
      </c>
      <c r="E290" t="str">
        <f>T("글면증")</f>
        <v>글면증</v>
      </c>
      <c r="H290" t="str">
        <f t="shared" si="55"/>
        <v>스토리위즈</v>
      </c>
      <c r="I290" t="str">
        <f>T("[e북]올마스터가 된 비전서고")</f>
        <v>[e북]올마스터가 된 비전서고</v>
      </c>
      <c r="J290">
        <v>3200</v>
      </c>
      <c r="K290">
        <v>6400</v>
      </c>
      <c r="L290">
        <v>2</v>
      </c>
      <c r="M290">
        <v>0</v>
      </c>
      <c r="N290">
        <v>20970</v>
      </c>
      <c r="O290">
        <v>25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-900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27370</v>
      </c>
      <c r="AH290">
        <v>27</v>
      </c>
      <c r="AI290">
        <v>-900</v>
      </c>
      <c r="AJ290">
        <v>1</v>
      </c>
      <c r="AK290">
        <v>27370</v>
      </c>
      <c r="AL290">
        <v>-900</v>
      </c>
      <c r="AM290">
        <v>0</v>
      </c>
      <c r="AN290">
        <v>0</v>
      </c>
      <c r="AO290">
        <v>0</v>
      </c>
      <c r="AP290">
        <v>18529</v>
      </c>
      <c r="AR290" t="str">
        <f t="shared" si="54"/>
        <v>0000000000000</v>
      </c>
      <c r="AT290" t="str">
        <f>T("9791137604308")</f>
        <v>9791137604308</v>
      </c>
      <c r="AV290" t="str">
        <f t="shared" si="56"/>
        <v>판타지 e북 &gt; 퓨전 판타지</v>
      </c>
    </row>
    <row r="291" spans="1:48" x14ac:dyDescent="0.4">
      <c r="A291">
        <v>2313017648</v>
      </c>
      <c r="B291">
        <v>2313017655</v>
      </c>
      <c r="C291" t="str">
        <f>T("[e북]올마스터가 된 비전서고 8권 (완결)")</f>
        <v>[e북]올마스터가 된 비전서고 8권 (완결)</v>
      </c>
      <c r="D291" t="str">
        <f>T("8")</f>
        <v>8</v>
      </c>
      <c r="E291" t="str">
        <f>T("글면증")</f>
        <v>글면증</v>
      </c>
      <c r="H291" t="str">
        <f t="shared" si="55"/>
        <v>스토리위즈</v>
      </c>
      <c r="I291" t="str">
        <f>T("[e북]올마스터가 된 비전서고")</f>
        <v>[e북]올마스터가 된 비전서고</v>
      </c>
      <c r="J291">
        <v>3200</v>
      </c>
      <c r="K291">
        <v>6400</v>
      </c>
      <c r="L291">
        <v>2</v>
      </c>
      <c r="M291">
        <v>0</v>
      </c>
      <c r="N291">
        <v>18270</v>
      </c>
      <c r="O291">
        <v>22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-900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24670</v>
      </c>
      <c r="AH291">
        <v>24</v>
      </c>
      <c r="AI291">
        <v>-900</v>
      </c>
      <c r="AJ291">
        <v>1</v>
      </c>
      <c r="AK291">
        <v>24670</v>
      </c>
      <c r="AL291">
        <v>-900</v>
      </c>
      <c r="AM291">
        <v>0</v>
      </c>
      <c r="AN291">
        <v>0</v>
      </c>
      <c r="AO291">
        <v>0</v>
      </c>
      <c r="AP291">
        <v>16639</v>
      </c>
      <c r="AR291" t="str">
        <f t="shared" si="54"/>
        <v>0000000000000</v>
      </c>
      <c r="AT291" t="str">
        <f>T("9791137604308")</f>
        <v>9791137604308</v>
      </c>
      <c r="AV291" t="str">
        <f t="shared" si="56"/>
        <v>판타지 e북 &gt; 퓨전 판타지</v>
      </c>
    </row>
    <row r="292" spans="1:48" x14ac:dyDescent="0.4">
      <c r="A292">
        <v>2313018081</v>
      </c>
      <c r="B292">
        <v>2313018083</v>
      </c>
      <c r="C292" t="str">
        <f>T("[e북]헌터인데 내공이 좀 많네요 3권")</f>
        <v>[e북]헌터인데 내공이 좀 많네요 3권</v>
      </c>
      <c r="D292" t="str">
        <f>T("3")</f>
        <v>3</v>
      </c>
      <c r="E292" t="str">
        <f>T("돈문어")</f>
        <v>돈문어</v>
      </c>
      <c r="H292" t="str">
        <f t="shared" si="55"/>
        <v>스토리위즈</v>
      </c>
      <c r="I292" t="str">
        <f>T("[e북]헌터인데 내공이 좀 많네요")</f>
        <v>[e북]헌터인데 내공이 좀 많네요</v>
      </c>
      <c r="J292">
        <v>3200</v>
      </c>
      <c r="K292">
        <v>6400</v>
      </c>
      <c r="L292">
        <v>2</v>
      </c>
      <c r="M292">
        <v>0</v>
      </c>
      <c r="N292">
        <v>26100</v>
      </c>
      <c r="O292">
        <v>29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32500</v>
      </c>
      <c r="AH292">
        <v>31</v>
      </c>
      <c r="AI292">
        <v>0</v>
      </c>
      <c r="AJ292">
        <v>0</v>
      </c>
      <c r="AK292">
        <v>32500</v>
      </c>
      <c r="AL292">
        <v>0</v>
      </c>
      <c r="AM292">
        <v>0</v>
      </c>
      <c r="AN292">
        <v>0</v>
      </c>
      <c r="AO292">
        <v>0</v>
      </c>
      <c r="AP292">
        <v>22750</v>
      </c>
      <c r="AR292" t="str">
        <f t="shared" si="54"/>
        <v>0000000000000</v>
      </c>
      <c r="AT292" t="str">
        <f>T("9791137604391")</f>
        <v>9791137604391</v>
      </c>
      <c r="AV292" t="str">
        <f t="shared" si="56"/>
        <v>판타지 e북 &gt; 퓨전 판타지</v>
      </c>
    </row>
    <row r="293" spans="1:48" x14ac:dyDescent="0.4">
      <c r="A293">
        <v>2313018081</v>
      </c>
      <c r="B293">
        <v>2313018085</v>
      </c>
      <c r="C293" t="str">
        <f>T("[e북]헌터인데 내공이 좀 많네요 5권")</f>
        <v>[e북]헌터인데 내공이 좀 많네요 5권</v>
      </c>
      <c r="D293" t="str">
        <f>T("5")</f>
        <v>5</v>
      </c>
      <c r="E293" t="str">
        <f>T("돈문어")</f>
        <v>돈문어</v>
      </c>
      <c r="H293" t="str">
        <f t="shared" si="55"/>
        <v>스토리위즈</v>
      </c>
      <c r="I293" t="str">
        <f>T("[e북]헌터인데 내공이 좀 많네요")</f>
        <v>[e북]헌터인데 내공이 좀 많네요</v>
      </c>
      <c r="J293">
        <v>3200</v>
      </c>
      <c r="K293">
        <v>6400</v>
      </c>
      <c r="L293">
        <v>2</v>
      </c>
      <c r="M293">
        <v>0</v>
      </c>
      <c r="N293">
        <v>11700</v>
      </c>
      <c r="O293">
        <v>13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18100</v>
      </c>
      <c r="AH293">
        <v>15</v>
      </c>
      <c r="AI293">
        <v>0</v>
      </c>
      <c r="AJ293">
        <v>0</v>
      </c>
      <c r="AK293">
        <v>18100</v>
      </c>
      <c r="AL293">
        <v>0</v>
      </c>
      <c r="AM293">
        <v>0</v>
      </c>
      <c r="AN293">
        <v>0</v>
      </c>
      <c r="AO293">
        <v>0</v>
      </c>
      <c r="AP293">
        <v>12670</v>
      </c>
      <c r="AR293" t="str">
        <f t="shared" si="54"/>
        <v>0000000000000</v>
      </c>
      <c r="AT293" t="str">
        <f>T("9791137604391")</f>
        <v>9791137604391</v>
      </c>
      <c r="AV293" t="str">
        <f t="shared" si="56"/>
        <v>판타지 e북 &gt; 퓨전 판타지</v>
      </c>
    </row>
    <row r="294" spans="1:48" x14ac:dyDescent="0.4">
      <c r="A294">
        <v>2313018081</v>
      </c>
      <c r="B294">
        <v>2313018086</v>
      </c>
      <c r="C294" t="str">
        <f>T("[e북]헌터인데 내공이 좀 많네요 6권")</f>
        <v>[e북]헌터인데 내공이 좀 많네요 6권</v>
      </c>
      <c r="D294" t="str">
        <f>T("6")</f>
        <v>6</v>
      </c>
      <c r="E294" t="str">
        <f>T("돈문어")</f>
        <v>돈문어</v>
      </c>
      <c r="H294" t="str">
        <f t="shared" si="55"/>
        <v>스토리위즈</v>
      </c>
      <c r="I294" t="str">
        <f>T("[e북]헌터인데 내공이 좀 많네요")</f>
        <v>[e북]헌터인데 내공이 좀 많네요</v>
      </c>
      <c r="J294">
        <v>3200</v>
      </c>
      <c r="K294">
        <v>6400</v>
      </c>
      <c r="L294">
        <v>2</v>
      </c>
      <c r="M294">
        <v>0</v>
      </c>
      <c r="N294">
        <v>9900</v>
      </c>
      <c r="O294">
        <v>11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16300</v>
      </c>
      <c r="AH294">
        <v>13</v>
      </c>
      <c r="AI294">
        <v>0</v>
      </c>
      <c r="AJ294">
        <v>0</v>
      </c>
      <c r="AK294">
        <v>16300</v>
      </c>
      <c r="AL294">
        <v>0</v>
      </c>
      <c r="AM294">
        <v>0</v>
      </c>
      <c r="AN294">
        <v>0</v>
      </c>
      <c r="AO294">
        <v>0</v>
      </c>
      <c r="AP294">
        <v>11410</v>
      </c>
      <c r="AR294" t="str">
        <f t="shared" si="54"/>
        <v>0000000000000</v>
      </c>
      <c r="AT294" t="str">
        <f>T("9791137604391")</f>
        <v>9791137604391</v>
      </c>
      <c r="AV294" t="str">
        <f t="shared" si="56"/>
        <v>판타지 e북 &gt; 퓨전 판타지</v>
      </c>
    </row>
    <row r="295" spans="1:48" x14ac:dyDescent="0.4">
      <c r="A295">
        <v>2313018081</v>
      </c>
      <c r="B295">
        <v>2313018087</v>
      </c>
      <c r="C295" t="str">
        <f>T("[e북]헌터인데 내공이 좀 많네요 7권")</f>
        <v>[e북]헌터인데 내공이 좀 많네요 7권</v>
      </c>
      <c r="D295" t="str">
        <f>T("7")</f>
        <v>7</v>
      </c>
      <c r="E295" t="str">
        <f>T("돈문어")</f>
        <v>돈문어</v>
      </c>
      <c r="H295" t="str">
        <f t="shared" si="55"/>
        <v>스토리위즈</v>
      </c>
      <c r="I295" t="str">
        <f>T("[e북]헌터인데 내공이 좀 많네요")</f>
        <v>[e북]헌터인데 내공이 좀 많네요</v>
      </c>
      <c r="J295">
        <v>3200</v>
      </c>
      <c r="K295">
        <v>6400</v>
      </c>
      <c r="L295">
        <v>2</v>
      </c>
      <c r="M295">
        <v>0</v>
      </c>
      <c r="N295">
        <v>10800</v>
      </c>
      <c r="O295">
        <v>12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17200</v>
      </c>
      <c r="AH295">
        <v>14</v>
      </c>
      <c r="AI295">
        <v>0</v>
      </c>
      <c r="AJ295">
        <v>0</v>
      </c>
      <c r="AK295">
        <v>17200</v>
      </c>
      <c r="AL295">
        <v>0</v>
      </c>
      <c r="AM295">
        <v>0</v>
      </c>
      <c r="AN295">
        <v>0</v>
      </c>
      <c r="AO295">
        <v>0</v>
      </c>
      <c r="AP295">
        <v>12040</v>
      </c>
      <c r="AR295" t="str">
        <f t="shared" si="54"/>
        <v>0000000000000</v>
      </c>
      <c r="AT295" t="str">
        <f>T("9791137604391")</f>
        <v>9791137604391</v>
      </c>
      <c r="AV295" t="str">
        <f t="shared" si="56"/>
        <v>판타지 e북 &gt; 퓨전 판타지</v>
      </c>
    </row>
    <row r="296" spans="1:48" x14ac:dyDescent="0.4">
      <c r="A296">
        <v>2313018081</v>
      </c>
      <c r="B296">
        <v>2313018088</v>
      </c>
      <c r="C296" t="str">
        <f>T("[e북]헌터인데 내공이 좀 많네요 8권 (완결)")</f>
        <v>[e북]헌터인데 내공이 좀 많네요 8권 (완결)</v>
      </c>
      <c r="D296" t="str">
        <f>T("8")</f>
        <v>8</v>
      </c>
      <c r="E296" t="str">
        <f>T("돈문어")</f>
        <v>돈문어</v>
      </c>
      <c r="H296" t="str">
        <f t="shared" si="55"/>
        <v>스토리위즈</v>
      </c>
      <c r="I296" t="str">
        <f>T("[e북]헌터인데 내공이 좀 많네요")</f>
        <v>[e북]헌터인데 내공이 좀 많네요</v>
      </c>
      <c r="J296">
        <v>3200</v>
      </c>
      <c r="K296">
        <v>6400</v>
      </c>
      <c r="L296">
        <v>2</v>
      </c>
      <c r="M296">
        <v>0</v>
      </c>
      <c r="N296">
        <v>9900</v>
      </c>
      <c r="O296">
        <v>11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16300</v>
      </c>
      <c r="AH296">
        <v>13</v>
      </c>
      <c r="AI296">
        <v>0</v>
      </c>
      <c r="AJ296">
        <v>0</v>
      </c>
      <c r="AK296">
        <v>16300</v>
      </c>
      <c r="AL296">
        <v>0</v>
      </c>
      <c r="AM296">
        <v>0</v>
      </c>
      <c r="AN296">
        <v>0</v>
      </c>
      <c r="AO296">
        <v>0</v>
      </c>
      <c r="AP296">
        <v>11410</v>
      </c>
      <c r="AR296" t="str">
        <f t="shared" si="54"/>
        <v>0000000000000</v>
      </c>
      <c r="AT296" t="str">
        <f>T("9791137604391")</f>
        <v>9791137604391</v>
      </c>
      <c r="AV296" t="str">
        <f t="shared" si="56"/>
        <v>판타지 e북 &gt; 퓨전 판타지</v>
      </c>
    </row>
    <row r="297" spans="1:48" x14ac:dyDescent="0.4">
      <c r="A297">
        <v>2313017163</v>
      </c>
      <c r="B297">
        <v>2313017212</v>
      </c>
      <c r="C297" t="str">
        <f>T("친절하기는 얼어 죽을 49화")</f>
        <v>친절하기는 얼어 죽을 49화</v>
      </c>
      <c r="D297" t="str">
        <f>T("50")</f>
        <v>50</v>
      </c>
      <c r="E297" t="str">
        <f>T("솜목화")</f>
        <v>솜목화</v>
      </c>
      <c r="H297" t="str">
        <f>T("블레슈")</f>
        <v>블레슈</v>
      </c>
      <c r="I297" t="str">
        <f>T("친절하기는 얼어 죽을")</f>
        <v>친절하기는 얼어 죽을</v>
      </c>
      <c r="J297">
        <v>100</v>
      </c>
      <c r="K297">
        <v>6300</v>
      </c>
      <c r="L297">
        <v>63</v>
      </c>
      <c r="M297">
        <v>0</v>
      </c>
      <c r="N297">
        <v>100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6400</v>
      </c>
      <c r="AH297">
        <v>65</v>
      </c>
      <c r="AI297">
        <v>0</v>
      </c>
      <c r="AJ297">
        <v>0</v>
      </c>
      <c r="AK297">
        <v>6310</v>
      </c>
      <c r="AL297">
        <v>0</v>
      </c>
      <c r="AM297">
        <v>108</v>
      </c>
      <c r="AN297">
        <v>-32.4</v>
      </c>
      <c r="AO297">
        <v>0</v>
      </c>
      <c r="AP297">
        <v>3831.36</v>
      </c>
      <c r="AR297" t="str">
        <f t="shared" si="54"/>
        <v>0000000000000</v>
      </c>
      <c r="AT297" t="str">
        <f>T("9791137604131")</f>
        <v>9791137604131</v>
      </c>
      <c r="AV297" t="str">
        <f>T("로맨스 웹소설 &gt; 현대물")</f>
        <v>로맨스 웹소설 &gt; 현대물</v>
      </c>
    </row>
    <row r="298" spans="1:48" x14ac:dyDescent="0.4">
      <c r="A298">
        <v>2313017163</v>
      </c>
      <c r="B298">
        <v>2313017214</v>
      </c>
      <c r="C298" t="str">
        <f>T("친절하기는 얼어 죽을 51화")</f>
        <v>친절하기는 얼어 죽을 51화</v>
      </c>
      <c r="D298" t="str">
        <f>T("52")</f>
        <v>52</v>
      </c>
      <c r="E298" t="str">
        <f>T("솜목화")</f>
        <v>솜목화</v>
      </c>
      <c r="H298" t="str">
        <f>T("블레슈")</f>
        <v>블레슈</v>
      </c>
      <c r="I298" t="str">
        <f>T("친절하기는 얼어 죽을")</f>
        <v>친절하기는 얼어 죽을</v>
      </c>
      <c r="J298">
        <v>100</v>
      </c>
      <c r="K298">
        <v>6300</v>
      </c>
      <c r="L298">
        <v>63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6300</v>
      </c>
      <c r="AH298">
        <v>63</v>
      </c>
      <c r="AI298">
        <v>0</v>
      </c>
      <c r="AJ298">
        <v>0</v>
      </c>
      <c r="AK298">
        <v>6210</v>
      </c>
      <c r="AL298">
        <v>0</v>
      </c>
      <c r="AM298">
        <v>108</v>
      </c>
      <c r="AN298">
        <v>-32.4</v>
      </c>
      <c r="AO298">
        <v>0</v>
      </c>
      <c r="AP298">
        <v>3771.36</v>
      </c>
      <c r="AR298" t="str">
        <f t="shared" si="54"/>
        <v>0000000000000</v>
      </c>
      <c r="AT298" t="str">
        <f>T("9791137604131")</f>
        <v>9791137604131</v>
      </c>
      <c r="AV298" t="str">
        <f>T("로맨스 웹소설 &gt; 현대물")</f>
        <v>로맨스 웹소설 &gt; 현대물</v>
      </c>
    </row>
    <row r="299" spans="1:48" x14ac:dyDescent="0.4">
      <c r="A299">
        <v>2313017163</v>
      </c>
      <c r="B299">
        <v>2313017215</v>
      </c>
      <c r="C299" t="str">
        <f>T("친절하기는 얼어 죽을 52화")</f>
        <v>친절하기는 얼어 죽을 52화</v>
      </c>
      <c r="D299" t="str">
        <f>T("53")</f>
        <v>53</v>
      </c>
      <c r="E299" t="str">
        <f>T("솜목화")</f>
        <v>솜목화</v>
      </c>
      <c r="H299" t="str">
        <f>T("블레슈")</f>
        <v>블레슈</v>
      </c>
      <c r="I299" t="str">
        <f>T("친절하기는 얼어 죽을")</f>
        <v>친절하기는 얼어 죽을</v>
      </c>
      <c r="J299">
        <v>100</v>
      </c>
      <c r="K299">
        <v>6300</v>
      </c>
      <c r="L299">
        <v>63</v>
      </c>
      <c r="M299">
        <v>0</v>
      </c>
      <c r="N299">
        <v>100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6400</v>
      </c>
      <c r="AH299">
        <v>65</v>
      </c>
      <c r="AI299">
        <v>0</v>
      </c>
      <c r="AJ299">
        <v>0</v>
      </c>
      <c r="AK299">
        <v>6310</v>
      </c>
      <c r="AL299">
        <v>0</v>
      </c>
      <c r="AM299">
        <v>108</v>
      </c>
      <c r="AN299">
        <v>-32.4</v>
      </c>
      <c r="AO299">
        <v>0</v>
      </c>
      <c r="AP299">
        <v>3831.36</v>
      </c>
      <c r="AR299" t="str">
        <f t="shared" si="54"/>
        <v>0000000000000</v>
      </c>
      <c r="AT299" t="str">
        <f>T("9791137604131")</f>
        <v>9791137604131</v>
      </c>
      <c r="AV299" t="str">
        <f>T("로맨스 웹소설 &gt; 현대물")</f>
        <v>로맨스 웹소설 &gt; 현대물</v>
      </c>
    </row>
    <row r="300" spans="1:48" x14ac:dyDescent="0.4">
      <c r="A300">
        <v>2313017163</v>
      </c>
      <c r="B300">
        <v>2313017216</v>
      </c>
      <c r="C300" t="str">
        <f>T("친절하기는 얼어 죽을 53화")</f>
        <v>친절하기는 얼어 죽을 53화</v>
      </c>
      <c r="D300" t="str">
        <f>T("54")</f>
        <v>54</v>
      </c>
      <c r="E300" t="str">
        <f>T("솜목화")</f>
        <v>솜목화</v>
      </c>
      <c r="H300" t="str">
        <f>T("블레슈")</f>
        <v>블레슈</v>
      </c>
      <c r="I300" t="str">
        <f>T("친절하기는 얼어 죽을")</f>
        <v>친절하기는 얼어 죽을</v>
      </c>
      <c r="J300">
        <v>100</v>
      </c>
      <c r="K300">
        <v>6300</v>
      </c>
      <c r="L300">
        <v>63</v>
      </c>
      <c r="M300">
        <v>0</v>
      </c>
      <c r="N300">
        <v>100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6400</v>
      </c>
      <c r="AH300">
        <v>64</v>
      </c>
      <c r="AI300">
        <v>0</v>
      </c>
      <c r="AJ300">
        <v>0</v>
      </c>
      <c r="AK300">
        <v>6310</v>
      </c>
      <c r="AL300">
        <v>0</v>
      </c>
      <c r="AM300">
        <v>108</v>
      </c>
      <c r="AN300">
        <v>-32.4</v>
      </c>
      <c r="AO300">
        <v>0</v>
      </c>
      <c r="AP300">
        <v>3831.36</v>
      </c>
      <c r="AR300" t="str">
        <f t="shared" si="54"/>
        <v>0000000000000</v>
      </c>
      <c r="AT300" t="str">
        <f>T("9791137604131")</f>
        <v>9791137604131</v>
      </c>
      <c r="AV300" t="str">
        <f>T("로맨스 웹소설 &gt; 현대물")</f>
        <v>로맨스 웹소설 &gt; 현대물</v>
      </c>
    </row>
    <row r="301" spans="1:48" x14ac:dyDescent="0.4">
      <c r="A301">
        <v>2313018097</v>
      </c>
      <c r="B301">
        <v>2313018099</v>
      </c>
      <c r="C301" t="str">
        <f>T("[e북]소투스 에스(SOTUS S) (외전)")</f>
        <v>[e북]소투스 에스(SOTUS S) (외전)</v>
      </c>
      <c r="D301" t="str">
        <f>T("3")</f>
        <v>3</v>
      </c>
      <c r="E301" t="str">
        <f>T("BitterSweet")</f>
        <v>BitterSweet</v>
      </c>
      <c r="F301" t="str">
        <f>T("이범근")</f>
        <v>이범근</v>
      </c>
      <c r="H301" t="str">
        <f>T("도서출판 태랑")</f>
        <v>도서출판 태랑</v>
      </c>
      <c r="I301" t="str">
        <f>T("[e북]소투스 에스(SOTUS S)")</f>
        <v>[e북]소투스 에스(SOTUS S)</v>
      </c>
      <c r="J301">
        <v>700</v>
      </c>
      <c r="K301">
        <v>6300</v>
      </c>
      <c r="L301">
        <v>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-700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6300</v>
      </c>
      <c r="AH301">
        <v>9</v>
      </c>
      <c r="AI301">
        <v>-700</v>
      </c>
      <c r="AJ301">
        <v>1</v>
      </c>
      <c r="AK301">
        <v>6300</v>
      </c>
      <c r="AL301">
        <v>-700</v>
      </c>
      <c r="AM301">
        <v>0</v>
      </c>
      <c r="AN301">
        <v>0</v>
      </c>
      <c r="AO301">
        <v>0</v>
      </c>
      <c r="AP301">
        <v>3920</v>
      </c>
      <c r="AT301" t="str">
        <f>T("9791164375158")</f>
        <v>9791164375158</v>
      </c>
      <c r="AV301" t="str">
        <f>T("BL 소설 e북 &gt; 현대물")</f>
        <v>BL 소설 e북 &gt; 현대물</v>
      </c>
    </row>
    <row r="302" spans="1:48" x14ac:dyDescent="0.4">
      <c r="A302">
        <v>2313017163</v>
      </c>
      <c r="B302">
        <v>2313017243</v>
      </c>
      <c r="C302" t="str">
        <f>T("친절하기는 얼어 죽을 80화")</f>
        <v>친절하기는 얼어 죽을 80화</v>
      </c>
      <c r="D302" t="str">
        <f>T("81")</f>
        <v>81</v>
      </c>
      <c r="E302" t="str">
        <f t="shared" ref="E302:E307" si="57">T("솜목화")</f>
        <v>솜목화</v>
      </c>
      <c r="H302" t="str">
        <f t="shared" ref="H302:H307" si="58">T("블레슈")</f>
        <v>블레슈</v>
      </c>
      <c r="I302" t="str">
        <f t="shared" ref="I302:I307" si="59">T("친절하기는 얼어 죽을")</f>
        <v>친절하기는 얼어 죽을</v>
      </c>
      <c r="J302">
        <v>100</v>
      </c>
      <c r="K302">
        <v>6200</v>
      </c>
      <c r="L302">
        <v>62</v>
      </c>
      <c r="M302">
        <v>0</v>
      </c>
      <c r="N302">
        <v>1200</v>
      </c>
      <c r="O302">
        <v>12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-100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7400</v>
      </c>
      <c r="AH302">
        <v>74</v>
      </c>
      <c r="AI302">
        <v>-100</v>
      </c>
      <c r="AJ302">
        <v>1</v>
      </c>
      <c r="AK302">
        <v>7310</v>
      </c>
      <c r="AL302">
        <v>-100</v>
      </c>
      <c r="AM302">
        <v>108</v>
      </c>
      <c r="AN302">
        <v>-32.4</v>
      </c>
      <c r="AO302">
        <v>0</v>
      </c>
      <c r="AP302">
        <v>4371.3599999999997</v>
      </c>
      <c r="AR302" t="str">
        <f t="shared" ref="AR302:AR307" si="60">T("0000000000000")</f>
        <v>0000000000000</v>
      </c>
      <c r="AT302" t="str">
        <f t="shared" ref="AT302:AT307" si="61">T("9791137604131")</f>
        <v>9791137604131</v>
      </c>
      <c r="AV302" t="str">
        <f t="shared" ref="AV302:AV307" si="62">T("로맨스 웹소설 &gt; 현대물")</f>
        <v>로맨스 웹소설 &gt; 현대물</v>
      </c>
    </row>
    <row r="303" spans="1:48" x14ac:dyDescent="0.4">
      <c r="A303">
        <v>2313017163</v>
      </c>
      <c r="B303">
        <v>2313017217</v>
      </c>
      <c r="C303" t="str">
        <f>T("친절하기는 얼어 죽을 54화")</f>
        <v>친절하기는 얼어 죽을 54화</v>
      </c>
      <c r="D303" t="str">
        <f>T("55")</f>
        <v>55</v>
      </c>
      <c r="E303" t="str">
        <f t="shared" si="57"/>
        <v>솜목화</v>
      </c>
      <c r="H303" t="str">
        <f t="shared" si="58"/>
        <v>블레슈</v>
      </c>
      <c r="I303" t="str">
        <f t="shared" si="59"/>
        <v>친절하기는 얼어 죽을</v>
      </c>
      <c r="J303">
        <v>100</v>
      </c>
      <c r="K303">
        <v>6100</v>
      </c>
      <c r="L303">
        <v>61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6100</v>
      </c>
      <c r="AH303">
        <v>61</v>
      </c>
      <c r="AI303">
        <v>0</v>
      </c>
      <c r="AJ303">
        <v>0</v>
      </c>
      <c r="AK303">
        <v>6010</v>
      </c>
      <c r="AL303">
        <v>0</v>
      </c>
      <c r="AM303">
        <v>108</v>
      </c>
      <c r="AN303">
        <v>-32.4</v>
      </c>
      <c r="AO303">
        <v>0</v>
      </c>
      <c r="AP303">
        <v>3651.36</v>
      </c>
      <c r="AR303" t="str">
        <f t="shared" si="60"/>
        <v>0000000000000</v>
      </c>
      <c r="AT303" t="str">
        <f t="shared" si="61"/>
        <v>9791137604131</v>
      </c>
      <c r="AV303" t="str">
        <f t="shared" si="62"/>
        <v>로맨스 웹소설 &gt; 현대물</v>
      </c>
    </row>
    <row r="304" spans="1:48" x14ac:dyDescent="0.4">
      <c r="A304">
        <v>2313017163</v>
      </c>
      <c r="B304">
        <v>2313017219</v>
      </c>
      <c r="C304" t="str">
        <f>T("친절하기는 얼어 죽을 56화")</f>
        <v>친절하기는 얼어 죽을 56화</v>
      </c>
      <c r="D304" t="str">
        <f>T("57")</f>
        <v>57</v>
      </c>
      <c r="E304" t="str">
        <f t="shared" si="57"/>
        <v>솜목화</v>
      </c>
      <c r="H304" t="str">
        <f t="shared" si="58"/>
        <v>블레슈</v>
      </c>
      <c r="I304" t="str">
        <f t="shared" si="59"/>
        <v>친절하기는 얼어 죽을</v>
      </c>
      <c r="J304">
        <v>100</v>
      </c>
      <c r="K304">
        <v>6100</v>
      </c>
      <c r="L304">
        <v>61</v>
      </c>
      <c r="M304">
        <v>0</v>
      </c>
      <c r="N304">
        <v>100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6200</v>
      </c>
      <c r="AH304">
        <v>62</v>
      </c>
      <c r="AI304">
        <v>0</v>
      </c>
      <c r="AJ304">
        <v>0</v>
      </c>
      <c r="AK304">
        <v>6110</v>
      </c>
      <c r="AL304">
        <v>0</v>
      </c>
      <c r="AM304">
        <v>108</v>
      </c>
      <c r="AN304">
        <v>-32.4</v>
      </c>
      <c r="AO304">
        <v>0</v>
      </c>
      <c r="AP304">
        <v>3711.36</v>
      </c>
      <c r="AR304" t="str">
        <f t="shared" si="60"/>
        <v>0000000000000</v>
      </c>
      <c r="AT304" t="str">
        <f t="shared" si="61"/>
        <v>9791137604131</v>
      </c>
      <c r="AV304" t="str">
        <f t="shared" si="62"/>
        <v>로맨스 웹소설 &gt; 현대물</v>
      </c>
    </row>
    <row r="305" spans="1:49" x14ac:dyDescent="0.4">
      <c r="A305">
        <v>2313017163</v>
      </c>
      <c r="B305">
        <v>2313017221</v>
      </c>
      <c r="C305" t="str">
        <f>T("친절하기는 얼어 죽을 58화")</f>
        <v>친절하기는 얼어 죽을 58화</v>
      </c>
      <c r="D305" t="str">
        <f>T("59")</f>
        <v>59</v>
      </c>
      <c r="E305" t="str">
        <f t="shared" si="57"/>
        <v>솜목화</v>
      </c>
      <c r="H305" t="str">
        <f t="shared" si="58"/>
        <v>블레슈</v>
      </c>
      <c r="I305" t="str">
        <f t="shared" si="59"/>
        <v>친절하기는 얼어 죽을</v>
      </c>
      <c r="J305">
        <v>100</v>
      </c>
      <c r="K305">
        <v>6100</v>
      </c>
      <c r="L305">
        <v>61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6100</v>
      </c>
      <c r="AH305">
        <v>61</v>
      </c>
      <c r="AI305">
        <v>0</v>
      </c>
      <c r="AJ305">
        <v>0</v>
      </c>
      <c r="AK305">
        <v>6010</v>
      </c>
      <c r="AL305">
        <v>0</v>
      </c>
      <c r="AM305">
        <v>108</v>
      </c>
      <c r="AN305">
        <v>-32.4</v>
      </c>
      <c r="AO305">
        <v>0</v>
      </c>
      <c r="AP305">
        <v>3651.36</v>
      </c>
      <c r="AR305" t="str">
        <f t="shared" si="60"/>
        <v>0000000000000</v>
      </c>
      <c r="AT305" t="str">
        <f t="shared" si="61"/>
        <v>9791137604131</v>
      </c>
      <c r="AV305" t="str">
        <f t="shared" si="62"/>
        <v>로맨스 웹소설 &gt; 현대물</v>
      </c>
    </row>
    <row r="306" spans="1:49" x14ac:dyDescent="0.4">
      <c r="A306">
        <v>2313017163</v>
      </c>
      <c r="B306">
        <v>2313017247</v>
      </c>
      <c r="C306" t="str">
        <f>T("친절하기는 얼어 죽을 84화")</f>
        <v>친절하기는 얼어 죽을 84화</v>
      </c>
      <c r="D306" t="str">
        <f>T("85")</f>
        <v>85</v>
      </c>
      <c r="E306" t="str">
        <f t="shared" si="57"/>
        <v>솜목화</v>
      </c>
      <c r="H306" t="str">
        <f t="shared" si="58"/>
        <v>블레슈</v>
      </c>
      <c r="I306" t="str">
        <f t="shared" si="59"/>
        <v>친절하기는 얼어 죽을</v>
      </c>
      <c r="J306">
        <v>100</v>
      </c>
      <c r="K306">
        <v>6100</v>
      </c>
      <c r="L306">
        <v>61</v>
      </c>
      <c r="M306">
        <v>0</v>
      </c>
      <c r="N306">
        <v>1000</v>
      </c>
      <c r="O306">
        <v>10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7100</v>
      </c>
      <c r="AH306">
        <v>71</v>
      </c>
      <c r="AI306">
        <v>0</v>
      </c>
      <c r="AJ306">
        <v>0</v>
      </c>
      <c r="AK306">
        <v>7010</v>
      </c>
      <c r="AL306">
        <v>0</v>
      </c>
      <c r="AM306">
        <v>108</v>
      </c>
      <c r="AN306">
        <v>-32.4</v>
      </c>
      <c r="AO306">
        <v>0</v>
      </c>
      <c r="AP306">
        <v>4251.3599999999997</v>
      </c>
      <c r="AR306" t="str">
        <f t="shared" si="60"/>
        <v>0000000000000</v>
      </c>
      <c r="AT306" t="str">
        <f t="shared" si="61"/>
        <v>9791137604131</v>
      </c>
      <c r="AV306" t="str">
        <f t="shared" si="62"/>
        <v>로맨스 웹소설 &gt; 현대물</v>
      </c>
    </row>
    <row r="307" spans="1:49" x14ac:dyDescent="0.4">
      <c r="A307">
        <v>2313017163</v>
      </c>
      <c r="B307">
        <v>2313017248</v>
      </c>
      <c r="C307" t="str">
        <f>T("친절하기는 얼어 죽을 85화")</f>
        <v>친절하기는 얼어 죽을 85화</v>
      </c>
      <c r="D307" t="str">
        <f>T("86")</f>
        <v>86</v>
      </c>
      <c r="E307" t="str">
        <f t="shared" si="57"/>
        <v>솜목화</v>
      </c>
      <c r="H307" t="str">
        <f t="shared" si="58"/>
        <v>블레슈</v>
      </c>
      <c r="I307" t="str">
        <f t="shared" si="59"/>
        <v>친절하기는 얼어 죽을</v>
      </c>
      <c r="J307">
        <v>100</v>
      </c>
      <c r="K307">
        <v>6100</v>
      </c>
      <c r="L307">
        <v>61</v>
      </c>
      <c r="M307">
        <v>0</v>
      </c>
      <c r="N307">
        <v>1500</v>
      </c>
      <c r="O307">
        <v>15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7600</v>
      </c>
      <c r="AH307">
        <v>77</v>
      </c>
      <c r="AI307">
        <v>0</v>
      </c>
      <c r="AJ307">
        <v>0</v>
      </c>
      <c r="AK307">
        <v>7510</v>
      </c>
      <c r="AL307">
        <v>0</v>
      </c>
      <c r="AM307">
        <v>108</v>
      </c>
      <c r="AN307">
        <v>-32.4</v>
      </c>
      <c r="AO307">
        <v>0</v>
      </c>
      <c r="AP307">
        <v>4551.3599999999997</v>
      </c>
      <c r="AR307" t="str">
        <f t="shared" si="60"/>
        <v>0000000000000</v>
      </c>
      <c r="AT307" t="str">
        <f t="shared" si="61"/>
        <v>9791137604131</v>
      </c>
      <c r="AV307" t="str">
        <f t="shared" si="62"/>
        <v>로맨스 웹소설 &gt; 현대물</v>
      </c>
    </row>
    <row r="308" spans="1:49" x14ac:dyDescent="0.4">
      <c r="A308">
        <v>2313016841</v>
      </c>
      <c r="B308">
        <v>2313016840</v>
      </c>
      <c r="C308" t="str">
        <f>T("[e북]꽃잎, 흩날리는 2권")</f>
        <v>[e북]꽃잎, 흩날리는 2권</v>
      </c>
      <c r="D308" t="str">
        <f>T("2")</f>
        <v>2</v>
      </c>
      <c r="E308" t="str">
        <f>T("마용출")</f>
        <v>마용출</v>
      </c>
      <c r="H308" t="str">
        <f>T("도서출판 태랑")</f>
        <v>도서출판 태랑</v>
      </c>
      <c r="I308" t="str">
        <f>T("[e북]꽃잎, 흩날리는")</f>
        <v>[e북]꽃잎, 흩날리는</v>
      </c>
      <c r="J308">
        <v>3000</v>
      </c>
      <c r="K308">
        <v>6000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6000</v>
      </c>
      <c r="AH308">
        <v>2</v>
      </c>
      <c r="AI308">
        <v>0</v>
      </c>
      <c r="AJ308">
        <v>0</v>
      </c>
      <c r="AK308">
        <v>6000</v>
      </c>
      <c r="AL308">
        <v>0</v>
      </c>
      <c r="AM308">
        <v>0</v>
      </c>
      <c r="AN308">
        <v>0</v>
      </c>
      <c r="AO308">
        <v>0</v>
      </c>
      <c r="AP308">
        <v>4200</v>
      </c>
      <c r="AT308" t="str">
        <f>T("9791164374823")</f>
        <v>9791164374823</v>
      </c>
      <c r="AV308" t="str">
        <f>T("BL 소설 e북 &gt; 역사/시대물")</f>
        <v>BL 소설 e북 &gt; 역사/시대물</v>
      </c>
    </row>
    <row r="309" spans="1:49" x14ac:dyDescent="0.4">
      <c r="A309">
        <v>2313016841</v>
      </c>
      <c r="B309">
        <v>2313016841</v>
      </c>
      <c r="C309" t="str">
        <f>T("[e북]꽃잎, 흩날리는 1권")</f>
        <v>[e북]꽃잎, 흩날리는 1권</v>
      </c>
      <c r="D309" t="str">
        <f>T("1")</f>
        <v>1</v>
      </c>
      <c r="E309" t="str">
        <f>T("마용출")</f>
        <v>마용출</v>
      </c>
      <c r="H309" t="str">
        <f>T("도서출판 태랑")</f>
        <v>도서출판 태랑</v>
      </c>
      <c r="I309" t="str">
        <f>T("[e북]꽃잎, 흩날리는")</f>
        <v>[e북]꽃잎, 흩날리는</v>
      </c>
      <c r="J309">
        <v>3000</v>
      </c>
      <c r="K309">
        <v>6000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6000</v>
      </c>
      <c r="AH309">
        <v>2</v>
      </c>
      <c r="AI309">
        <v>0</v>
      </c>
      <c r="AJ309">
        <v>0</v>
      </c>
      <c r="AK309">
        <v>6000</v>
      </c>
      <c r="AL309">
        <v>0</v>
      </c>
      <c r="AM309">
        <v>0</v>
      </c>
      <c r="AN309">
        <v>0</v>
      </c>
      <c r="AO309">
        <v>0</v>
      </c>
      <c r="AP309">
        <v>4200</v>
      </c>
      <c r="AT309" t="str">
        <f>T("9791164374816")</f>
        <v>9791164374816</v>
      </c>
      <c r="AV309" t="str">
        <f>T("BL 소설 e북 &gt; 역사/시대물")</f>
        <v>BL 소설 e북 &gt; 역사/시대물</v>
      </c>
    </row>
    <row r="310" spans="1:49" x14ac:dyDescent="0.4">
      <c r="A310">
        <v>2313017148</v>
      </c>
      <c r="B310">
        <v>2313017146</v>
      </c>
      <c r="C310" t="str">
        <f>T("[e북]비서의 유혹 3권 (완결)")</f>
        <v>[e북]비서의 유혹 3권 (완결)</v>
      </c>
      <c r="D310" t="str">
        <f>T("3")</f>
        <v>3</v>
      </c>
      <c r="E310" t="str">
        <f>T("밈스")</f>
        <v>밈스</v>
      </c>
      <c r="H310" t="str">
        <f>T("도서출판 태랑")</f>
        <v>도서출판 태랑</v>
      </c>
      <c r="I310" t="str">
        <f>T("[e북]비서의 유혹")</f>
        <v>[e북]비서의 유혹</v>
      </c>
      <c r="J310">
        <v>3000</v>
      </c>
      <c r="K310">
        <v>6000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6000</v>
      </c>
      <c r="AH310">
        <v>2</v>
      </c>
      <c r="AI310">
        <v>0</v>
      </c>
      <c r="AJ310">
        <v>0</v>
      </c>
      <c r="AK310">
        <v>6000</v>
      </c>
      <c r="AL310">
        <v>0</v>
      </c>
      <c r="AM310">
        <v>0</v>
      </c>
      <c r="AN310">
        <v>0</v>
      </c>
      <c r="AO310">
        <v>0</v>
      </c>
      <c r="AP310">
        <v>4200</v>
      </c>
      <c r="AT310" t="str">
        <f>T("9791189084462")</f>
        <v>9791189084462</v>
      </c>
      <c r="AV310" t="str">
        <f>T("로맨스 e북 &gt; 현대물")</f>
        <v>로맨스 e북 &gt; 현대물</v>
      </c>
      <c r="AW310" t="str">
        <f>T("로맨스 e북 &gt; 19+")</f>
        <v>로맨스 e북 &gt; 19+</v>
      </c>
    </row>
    <row r="311" spans="1:49" x14ac:dyDescent="0.4">
      <c r="A311">
        <v>2313017148</v>
      </c>
      <c r="B311">
        <v>2313017148</v>
      </c>
      <c r="C311" t="str">
        <f>T("[e북]비서의 유혹 1권")</f>
        <v>[e북]비서의 유혹 1권</v>
      </c>
      <c r="D311" t="str">
        <f>T("1")</f>
        <v>1</v>
      </c>
      <c r="E311" t="str">
        <f>T("밈스")</f>
        <v>밈스</v>
      </c>
      <c r="H311" t="str">
        <f>T("도서출판 태랑")</f>
        <v>도서출판 태랑</v>
      </c>
      <c r="I311" t="str">
        <f>T("[e북]비서의 유혹")</f>
        <v>[e북]비서의 유혹</v>
      </c>
      <c r="J311">
        <v>3000</v>
      </c>
      <c r="K311">
        <v>6000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6000</v>
      </c>
      <c r="AH311">
        <v>2</v>
      </c>
      <c r="AI311">
        <v>0</v>
      </c>
      <c r="AJ311">
        <v>0</v>
      </c>
      <c r="AK311">
        <v>6000</v>
      </c>
      <c r="AL311">
        <v>0</v>
      </c>
      <c r="AM311">
        <v>0</v>
      </c>
      <c r="AN311">
        <v>0</v>
      </c>
      <c r="AO311">
        <v>0</v>
      </c>
      <c r="AP311">
        <v>4200</v>
      </c>
      <c r="AT311" t="str">
        <f>T("9791189084448")</f>
        <v>9791189084448</v>
      </c>
      <c r="AV311" t="str">
        <f>T("로맨스 e북 &gt; 현대물")</f>
        <v>로맨스 e북 &gt; 현대물</v>
      </c>
      <c r="AW311" t="str">
        <f>T("로맨스 e북 &gt; 19+")</f>
        <v>로맨스 e북 &gt; 19+</v>
      </c>
    </row>
    <row r="312" spans="1:49" x14ac:dyDescent="0.4">
      <c r="A312">
        <v>2313017163</v>
      </c>
      <c r="B312">
        <v>2313017218</v>
      </c>
      <c r="C312" t="str">
        <f>T("친절하기는 얼어 죽을 55화")</f>
        <v>친절하기는 얼어 죽을 55화</v>
      </c>
      <c r="D312" t="str">
        <f>T("56")</f>
        <v>56</v>
      </c>
      <c r="E312" t="str">
        <f>T("솜목화")</f>
        <v>솜목화</v>
      </c>
      <c r="H312" t="str">
        <f>T("블레슈")</f>
        <v>블레슈</v>
      </c>
      <c r="I312" t="str">
        <f>T("친절하기는 얼어 죽을")</f>
        <v>친절하기는 얼어 죽을</v>
      </c>
      <c r="J312">
        <v>100</v>
      </c>
      <c r="K312">
        <v>5900</v>
      </c>
      <c r="L312">
        <v>59</v>
      </c>
      <c r="M312">
        <v>0</v>
      </c>
      <c r="N312">
        <v>100</v>
      </c>
      <c r="O312">
        <v>1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6000</v>
      </c>
      <c r="AH312">
        <v>62</v>
      </c>
      <c r="AI312">
        <v>0</v>
      </c>
      <c r="AJ312">
        <v>0</v>
      </c>
      <c r="AK312">
        <v>5910</v>
      </c>
      <c r="AL312">
        <v>0</v>
      </c>
      <c r="AM312">
        <v>108</v>
      </c>
      <c r="AN312">
        <v>-32.4</v>
      </c>
      <c r="AO312">
        <v>0</v>
      </c>
      <c r="AP312">
        <v>3591.36</v>
      </c>
      <c r="AR312" t="str">
        <f>T("0000000000000")</f>
        <v>0000000000000</v>
      </c>
      <c r="AT312" t="str">
        <f>T("9791137604131")</f>
        <v>9791137604131</v>
      </c>
      <c r="AV312" t="str">
        <f>T("로맨스 웹소설 &gt; 현대물")</f>
        <v>로맨스 웹소설 &gt; 현대물</v>
      </c>
    </row>
    <row r="313" spans="1:49" x14ac:dyDescent="0.4">
      <c r="A313">
        <v>2313017163</v>
      </c>
      <c r="B313">
        <v>2313017220</v>
      </c>
      <c r="C313" t="str">
        <f>T("친절하기는 얼어 죽을 57화")</f>
        <v>친절하기는 얼어 죽을 57화</v>
      </c>
      <c r="D313" t="str">
        <f>T("58")</f>
        <v>58</v>
      </c>
      <c r="E313" t="str">
        <f>T("솜목화")</f>
        <v>솜목화</v>
      </c>
      <c r="H313" t="str">
        <f>T("블레슈")</f>
        <v>블레슈</v>
      </c>
      <c r="I313" t="str">
        <f>T("친절하기는 얼어 죽을")</f>
        <v>친절하기는 얼어 죽을</v>
      </c>
      <c r="J313">
        <v>100</v>
      </c>
      <c r="K313">
        <v>5900</v>
      </c>
      <c r="L313">
        <v>59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5900</v>
      </c>
      <c r="AH313">
        <v>60</v>
      </c>
      <c r="AI313">
        <v>0</v>
      </c>
      <c r="AJ313">
        <v>0</v>
      </c>
      <c r="AK313">
        <v>5810</v>
      </c>
      <c r="AL313">
        <v>0</v>
      </c>
      <c r="AM313">
        <v>108</v>
      </c>
      <c r="AN313">
        <v>-32.4</v>
      </c>
      <c r="AO313">
        <v>0</v>
      </c>
      <c r="AP313">
        <v>3531.36</v>
      </c>
      <c r="AR313" t="str">
        <f>T("0000000000000")</f>
        <v>0000000000000</v>
      </c>
      <c r="AT313" t="str">
        <f>T("9791137604131")</f>
        <v>9791137604131</v>
      </c>
      <c r="AV313" t="str">
        <f>T("로맨스 웹소설 &gt; 현대물")</f>
        <v>로맨스 웹소설 &gt; 현대물</v>
      </c>
    </row>
    <row r="314" spans="1:49" x14ac:dyDescent="0.4">
      <c r="A314">
        <v>2313017163</v>
      </c>
      <c r="B314">
        <v>2313017222</v>
      </c>
      <c r="C314" t="str">
        <f>T("친절하기는 얼어 죽을 59화")</f>
        <v>친절하기는 얼어 죽을 59화</v>
      </c>
      <c r="D314" t="str">
        <f>T("60")</f>
        <v>60</v>
      </c>
      <c r="E314" t="str">
        <f>T("솜목화")</f>
        <v>솜목화</v>
      </c>
      <c r="H314" t="str">
        <f>T("블레슈")</f>
        <v>블레슈</v>
      </c>
      <c r="I314" t="str">
        <f>T("친절하기는 얼어 죽을")</f>
        <v>친절하기는 얼어 죽을</v>
      </c>
      <c r="J314">
        <v>100</v>
      </c>
      <c r="K314">
        <v>5900</v>
      </c>
      <c r="L314">
        <v>59</v>
      </c>
      <c r="M314">
        <v>0</v>
      </c>
      <c r="N314">
        <v>100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6000</v>
      </c>
      <c r="AH314">
        <v>60</v>
      </c>
      <c r="AI314">
        <v>0</v>
      </c>
      <c r="AJ314">
        <v>0</v>
      </c>
      <c r="AK314">
        <v>5910</v>
      </c>
      <c r="AL314">
        <v>0</v>
      </c>
      <c r="AM314">
        <v>108</v>
      </c>
      <c r="AN314">
        <v>-32.4</v>
      </c>
      <c r="AO314">
        <v>0</v>
      </c>
      <c r="AP314">
        <v>3591.36</v>
      </c>
      <c r="AR314" t="str">
        <f>T("0000000000000")</f>
        <v>0000000000000</v>
      </c>
      <c r="AT314" t="str">
        <f>T("9791137604131")</f>
        <v>9791137604131</v>
      </c>
      <c r="AV314" t="str">
        <f>T("로맨스 웹소설 &gt; 현대물")</f>
        <v>로맨스 웹소설 &gt; 현대물</v>
      </c>
    </row>
    <row r="315" spans="1:49" x14ac:dyDescent="0.4">
      <c r="A315">
        <v>2313017163</v>
      </c>
      <c r="B315">
        <v>2313017224</v>
      </c>
      <c r="C315" t="str">
        <f>T("친절하기는 얼어 죽을 61화")</f>
        <v>친절하기는 얼어 죽을 61화</v>
      </c>
      <c r="D315" t="str">
        <f>T("62")</f>
        <v>62</v>
      </c>
      <c r="E315" t="str">
        <f>T("솜목화")</f>
        <v>솜목화</v>
      </c>
      <c r="H315" t="str">
        <f>T("블레슈")</f>
        <v>블레슈</v>
      </c>
      <c r="I315" t="str">
        <f>T("친절하기는 얼어 죽을")</f>
        <v>친절하기는 얼어 죽을</v>
      </c>
      <c r="J315">
        <v>100</v>
      </c>
      <c r="K315">
        <v>5900</v>
      </c>
      <c r="L315">
        <v>59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5900</v>
      </c>
      <c r="AH315">
        <v>61</v>
      </c>
      <c r="AI315">
        <v>0</v>
      </c>
      <c r="AJ315">
        <v>0</v>
      </c>
      <c r="AK315">
        <v>5810</v>
      </c>
      <c r="AL315">
        <v>0</v>
      </c>
      <c r="AM315">
        <v>108</v>
      </c>
      <c r="AN315">
        <v>-32.4</v>
      </c>
      <c r="AO315">
        <v>0</v>
      </c>
      <c r="AP315">
        <v>3531.36</v>
      </c>
      <c r="AR315" t="str">
        <f>T("0000000000000")</f>
        <v>0000000000000</v>
      </c>
      <c r="AT315" t="str">
        <f>T("9791137604131")</f>
        <v>9791137604131</v>
      </c>
      <c r="AV315" t="str">
        <f>T("로맨스 웹소설 &gt; 현대물")</f>
        <v>로맨스 웹소설 &gt; 현대물</v>
      </c>
    </row>
    <row r="316" spans="1:49" x14ac:dyDescent="0.4">
      <c r="A316">
        <v>2313016875</v>
      </c>
      <c r="B316">
        <v>2313016873</v>
      </c>
      <c r="C316" t="str">
        <f>T("[e북]사랑한다 윤혜영 (외전증보 삽화본) 3권 (완결)")</f>
        <v>[e북]사랑한다 윤혜영 (외전증보 삽화본) 3권 (완결)</v>
      </c>
      <c r="D316" t="str">
        <f>T("3")</f>
        <v>3</v>
      </c>
      <c r="E316" t="str">
        <f>T("블랙커피")</f>
        <v>블랙커피</v>
      </c>
      <c r="H316" t="str">
        <f>T("도서출판 태랑")</f>
        <v>도서출판 태랑</v>
      </c>
      <c r="I316" t="str">
        <f>T("[e북]사랑한다 윤혜영 (외전증보 삽화본)")</f>
        <v>[e북]사랑한다 윤혜영 (외전증보 삽화본)</v>
      </c>
      <c r="J316">
        <v>2900</v>
      </c>
      <c r="K316">
        <v>5800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5800</v>
      </c>
      <c r="AH316">
        <v>2</v>
      </c>
      <c r="AI316">
        <v>0</v>
      </c>
      <c r="AJ316">
        <v>0</v>
      </c>
      <c r="AK316">
        <v>5800</v>
      </c>
      <c r="AL316">
        <v>0</v>
      </c>
      <c r="AM316">
        <v>0</v>
      </c>
      <c r="AN316">
        <v>0</v>
      </c>
      <c r="AO316">
        <v>0</v>
      </c>
      <c r="AP316">
        <v>4060</v>
      </c>
      <c r="AT316" t="str">
        <f>T("9791164373956")</f>
        <v>9791164373956</v>
      </c>
      <c r="AV316" t="str">
        <f>T("로맨스 e북 &gt; 현대물")</f>
        <v>로맨스 e북 &gt; 현대물</v>
      </c>
      <c r="AW316" t="str">
        <f>T("로맨스 e북 &gt; 19+")</f>
        <v>로맨스 e북 &gt; 19+</v>
      </c>
    </row>
    <row r="317" spans="1:49" x14ac:dyDescent="0.4">
      <c r="A317">
        <v>2313016875</v>
      </c>
      <c r="B317">
        <v>2313016874</v>
      </c>
      <c r="C317" t="str">
        <f>T("[e북]사랑한다 윤혜영 (외전증보 삽화본) 2권")</f>
        <v>[e북]사랑한다 윤혜영 (외전증보 삽화본) 2권</v>
      </c>
      <c r="D317" t="str">
        <f>T("2")</f>
        <v>2</v>
      </c>
      <c r="E317" t="str">
        <f>T("블랙커피")</f>
        <v>블랙커피</v>
      </c>
      <c r="H317" t="str">
        <f>T("도서출판 태랑")</f>
        <v>도서출판 태랑</v>
      </c>
      <c r="I317" t="str">
        <f>T("[e북]사랑한다 윤혜영 (외전증보 삽화본)")</f>
        <v>[e북]사랑한다 윤혜영 (외전증보 삽화본)</v>
      </c>
      <c r="J317">
        <v>2900</v>
      </c>
      <c r="K317">
        <v>5800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5800</v>
      </c>
      <c r="AH317">
        <v>2</v>
      </c>
      <c r="AI317">
        <v>0</v>
      </c>
      <c r="AJ317">
        <v>0</v>
      </c>
      <c r="AK317">
        <v>5800</v>
      </c>
      <c r="AL317">
        <v>0</v>
      </c>
      <c r="AM317">
        <v>0</v>
      </c>
      <c r="AN317">
        <v>0</v>
      </c>
      <c r="AO317">
        <v>0</v>
      </c>
      <c r="AP317">
        <v>4060</v>
      </c>
      <c r="AT317" t="str">
        <f>T("9791164373949")</f>
        <v>9791164373949</v>
      </c>
      <c r="AV317" t="str">
        <f>T("로맨스 e북 &gt; 현대물")</f>
        <v>로맨스 e북 &gt; 현대물</v>
      </c>
      <c r="AW317" t="str">
        <f>T("로맨스 e북 &gt; 19+")</f>
        <v>로맨스 e북 &gt; 19+</v>
      </c>
    </row>
    <row r="318" spans="1:49" x14ac:dyDescent="0.4">
      <c r="A318">
        <v>2313017163</v>
      </c>
      <c r="B318">
        <v>2313017232</v>
      </c>
      <c r="C318" t="str">
        <f>T("친절하기는 얼어 죽을 69화")</f>
        <v>친절하기는 얼어 죽을 69화</v>
      </c>
      <c r="D318" t="str">
        <f>T("70")</f>
        <v>70</v>
      </c>
      <c r="E318" t="str">
        <f t="shared" ref="E318:E326" si="63">T("솜목화")</f>
        <v>솜목화</v>
      </c>
      <c r="H318" t="str">
        <f t="shared" ref="H318:H326" si="64">T("블레슈")</f>
        <v>블레슈</v>
      </c>
      <c r="I318" t="str">
        <f t="shared" ref="I318:I326" si="65">T("친절하기는 얼어 죽을")</f>
        <v>친절하기는 얼어 죽을</v>
      </c>
      <c r="J318">
        <v>100</v>
      </c>
      <c r="K318">
        <v>5800</v>
      </c>
      <c r="L318">
        <v>58</v>
      </c>
      <c r="M318">
        <v>0</v>
      </c>
      <c r="N318">
        <v>300</v>
      </c>
      <c r="O318">
        <v>3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6100</v>
      </c>
      <c r="AH318">
        <v>62</v>
      </c>
      <c r="AI318">
        <v>0</v>
      </c>
      <c r="AJ318">
        <v>0</v>
      </c>
      <c r="AK318">
        <v>6010</v>
      </c>
      <c r="AL318">
        <v>0</v>
      </c>
      <c r="AM318">
        <v>108</v>
      </c>
      <c r="AN318">
        <v>-32.4</v>
      </c>
      <c r="AO318">
        <v>0</v>
      </c>
      <c r="AP318">
        <v>3651.36</v>
      </c>
      <c r="AR318" t="str">
        <f t="shared" ref="AR318:AR326" si="66">T("0000000000000")</f>
        <v>0000000000000</v>
      </c>
      <c r="AT318" t="str">
        <f t="shared" ref="AT318:AT326" si="67">T("9791137604131")</f>
        <v>9791137604131</v>
      </c>
      <c r="AV318" t="str">
        <f t="shared" ref="AV318:AV326" si="68">T("로맨스 웹소설 &gt; 현대물")</f>
        <v>로맨스 웹소설 &gt; 현대물</v>
      </c>
    </row>
    <row r="319" spans="1:49" x14ac:dyDescent="0.4">
      <c r="A319">
        <v>2313017163</v>
      </c>
      <c r="B319">
        <v>2313017244</v>
      </c>
      <c r="C319" t="str">
        <f>T("친절하기는 얼어 죽을 81화")</f>
        <v>친절하기는 얼어 죽을 81화</v>
      </c>
      <c r="D319" t="str">
        <f>T("82")</f>
        <v>82</v>
      </c>
      <c r="E319" t="str">
        <f t="shared" si="63"/>
        <v>솜목화</v>
      </c>
      <c r="H319" t="str">
        <f t="shared" si="64"/>
        <v>블레슈</v>
      </c>
      <c r="I319" t="str">
        <f t="shared" si="65"/>
        <v>친절하기는 얼어 죽을</v>
      </c>
      <c r="J319">
        <v>100</v>
      </c>
      <c r="K319">
        <v>5800</v>
      </c>
      <c r="L319">
        <v>58</v>
      </c>
      <c r="M319">
        <v>0</v>
      </c>
      <c r="N319">
        <v>1000</v>
      </c>
      <c r="O319">
        <v>10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6800</v>
      </c>
      <c r="AH319">
        <v>68</v>
      </c>
      <c r="AI319">
        <v>0</v>
      </c>
      <c r="AJ319">
        <v>0</v>
      </c>
      <c r="AK319">
        <v>6710</v>
      </c>
      <c r="AL319">
        <v>0</v>
      </c>
      <c r="AM319">
        <v>108</v>
      </c>
      <c r="AN319">
        <v>-32.4</v>
      </c>
      <c r="AO319">
        <v>0</v>
      </c>
      <c r="AP319">
        <v>4071.36</v>
      </c>
      <c r="AR319" t="str">
        <f t="shared" si="66"/>
        <v>0000000000000</v>
      </c>
      <c r="AT319" t="str">
        <f t="shared" si="67"/>
        <v>9791137604131</v>
      </c>
      <c r="AV319" t="str">
        <f t="shared" si="68"/>
        <v>로맨스 웹소설 &gt; 현대물</v>
      </c>
    </row>
    <row r="320" spans="1:49" x14ac:dyDescent="0.4">
      <c r="A320">
        <v>2313017163</v>
      </c>
      <c r="B320">
        <v>2313017246</v>
      </c>
      <c r="C320" t="str">
        <f>T("친절하기는 얼어 죽을 83화")</f>
        <v>친절하기는 얼어 죽을 83화</v>
      </c>
      <c r="D320" t="str">
        <f>T("84")</f>
        <v>84</v>
      </c>
      <c r="E320" t="str">
        <f t="shared" si="63"/>
        <v>솜목화</v>
      </c>
      <c r="H320" t="str">
        <f t="shared" si="64"/>
        <v>블레슈</v>
      </c>
      <c r="I320" t="str">
        <f t="shared" si="65"/>
        <v>친절하기는 얼어 죽을</v>
      </c>
      <c r="J320">
        <v>100</v>
      </c>
      <c r="K320">
        <v>5800</v>
      </c>
      <c r="L320">
        <v>58</v>
      </c>
      <c r="M320">
        <v>0</v>
      </c>
      <c r="N320">
        <v>1000</v>
      </c>
      <c r="O320">
        <v>10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6800</v>
      </c>
      <c r="AH320">
        <v>68</v>
      </c>
      <c r="AI320">
        <v>0</v>
      </c>
      <c r="AJ320">
        <v>0</v>
      </c>
      <c r="AK320">
        <v>6710</v>
      </c>
      <c r="AL320">
        <v>0</v>
      </c>
      <c r="AM320">
        <v>108</v>
      </c>
      <c r="AN320">
        <v>-32.4</v>
      </c>
      <c r="AO320">
        <v>0</v>
      </c>
      <c r="AP320">
        <v>4071.36</v>
      </c>
      <c r="AR320" t="str">
        <f t="shared" si="66"/>
        <v>0000000000000</v>
      </c>
      <c r="AT320" t="str">
        <f t="shared" si="67"/>
        <v>9791137604131</v>
      </c>
      <c r="AV320" t="str">
        <f t="shared" si="68"/>
        <v>로맨스 웹소설 &gt; 현대물</v>
      </c>
    </row>
    <row r="321" spans="1:49" x14ac:dyDescent="0.4">
      <c r="A321">
        <v>2313017163</v>
      </c>
      <c r="B321">
        <v>2313017223</v>
      </c>
      <c r="C321" t="str">
        <f>T("친절하기는 얼어 죽을 60화")</f>
        <v>친절하기는 얼어 죽을 60화</v>
      </c>
      <c r="D321" t="str">
        <f>T("61")</f>
        <v>61</v>
      </c>
      <c r="E321" t="str">
        <f t="shared" si="63"/>
        <v>솜목화</v>
      </c>
      <c r="H321" t="str">
        <f t="shared" si="64"/>
        <v>블레슈</v>
      </c>
      <c r="I321" t="str">
        <f t="shared" si="65"/>
        <v>친절하기는 얼어 죽을</v>
      </c>
      <c r="J321">
        <v>100</v>
      </c>
      <c r="K321">
        <v>5700</v>
      </c>
      <c r="L321">
        <v>57</v>
      </c>
      <c r="M321">
        <v>0</v>
      </c>
      <c r="N321">
        <v>100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5800</v>
      </c>
      <c r="AH321">
        <v>58</v>
      </c>
      <c r="AI321">
        <v>0</v>
      </c>
      <c r="AJ321">
        <v>0</v>
      </c>
      <c r="AK321">
        <v>5710</v>
      </c>
      <c r="AL321">
        <v>0</v>
      </c>
      <c r="AM321">
        <v>108</v>
      </c>
      <c r="AN321">
        <v>-32.4</v>
      </c>
      <c r="AO321">
        <v>0</v>
      </c>
      <c r="AP321">
        <v>3471.36</v>
      </c>
      <c r="AR321" t="str">
        <f t="shared" si="66"/>
        <v>0000000000000</v>
      </c>
      <c r="AT321" t="str">
        <f t="shared" si="67"/>
        <v>9791137604131</v>
      </c>
      <c r="AV321" t="str">
        <f t="shared" si="68"/>
        <v>로맨스 웹소설 &gt; 현대물</v>
      </c>
    </row>
    <row r="322" spans="1:49" x14ac:dyDescent="0.4">
      <c r="A322">
        <v>2313017163</v>
      </c>
      <c r="B322">
        <v>2313017225</v>
      </c>
      <c r="C322" t="str">
        <f>T("친절하기는 얼어 죽을 62화")</f>
        <v>친절하기는 얼어 죽을 62화</v>
      </c>
      <c r="D322" t="str">
        <f>T("63")</f>
        <v>63</v>
      </c>
      <c r="E322" t="str">
        <f t="shared" si="63"/>
        <v>솜목화</v>
      </c>
      <c r="H322" t="str">
        <f t="shared" si="64"/>
        <v>블레슈</v>
      </c>
      <c r="I322" t="str">
        <f t="shared" si="65"/>
        <v>친절하기는 얼어 죽을</v>
      </c>
      <c r="J322">
        <v>100</v>
      </c>
      <c r="K322">
        <v>5700</v>
      </c>
      <c r="L322">
        <v>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5700</v>
      </c>
      <c r="AH322">
        <v>57</v>
      </c>
      <c r="AI322">
        <v>0</v>
      </c>
      <c r="AJ322">
        <v>0</v>
      </c>
      <c r="AK322">
        <v>5610</v>
      </c>
      <c r="AL322">
        <v>0</v>
      </c>
      <c r="AM322">
        <v>108</v>
      </c>
      <c r="AN322">
        <v>-32.4</v>
      </c>
      <c r="AO322">
        <v>0</v>
      </c>
      <c r="AP322">
        <v>3411.36</v>
      </c>
      <c r="AR322" t="str">
        <f t="shared" si="66"/>
        <v>0000000000000</v>
      </c>
      <c r="AT322" t="str">
        <f t="shared" si="67"/>
        <v>9791137604131</v>
      </c>
      <c r="AV322" t="str">
        <f t="shared" si="68"/>
        <v>로맨스 웹소설 &gt; 현대물</v>
      </c>
    </row>
    <row r="323" spans="1:49" x14ac:dyDescent="0.4">
      <c r="A323">
        <v>2313017163</v>
      </c>
      <c r="B323">
        <v>2313017227</v>
      </c>
      <c r="C323" t="str">
        <f>T("친절하기는 얼어 죽을 64화")</f>
        <v>친절하기는 얼어 죽을 64화</v>
      </c>
      <c r="D323" t="str">
        <f>T("65")</f>
        <v>65</v>
      </c>
      <c r="E323" t="str">
        <f t="shared" si="63"/>
        <v>솜목화</v>
      </c>
      <c r="H323" t="str">
        <f t="shared" si="64"/>
        <v>블레슈</v>
      </c>
      <c r="I323" t="str">
        <f t="shared" si="65"/>
        <v>친절하기는 얼어 죽을</v>
      </c>
      <c r="J323">
        <v>100</v>
      </c>
      <c r="K323">
        <v>5700</v>
      </c>
      <c r="L323">
        <v>57</v>
      </c>
      <c r="M323">
        <v>0</v>
      </c>
      <c r="N323">
        <v>100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5800</v>
      </c>
      <c r="AH323">
        <v>58</v>
      </c>
      <c r="AI323">
        <v>0</v>
      </c>
      <c r="AJ323">
        <v>0</v>
      </c>
      <c r="AK323">
        <v>5710</v>
      </c>
      <c r="AL323">
        <v>0</v>
      </c>
      <c r="AM323">
        <v>108</v>
      </c>
      <c r="AN323">
        <v>-32.4</v>
      </c>
      <c r="AO323">
        <v>0</v>
      </c>
      <c r="AP323">
        <v>3471.36</v>
      </c>
      <c r="AR323" t="str">
        <f t="shared" si="66"/>
        <v>0000000000000</v>
      </c>
      <c r="AT323" t="str">
        <f t="shared" si="67"/>
        <v>9791137604131</v>
      </c>
      <c r="AV323" t="str">
        <f t="shared" si="68"/>
        <v>로맨스 웹소설 &gt; 현대물</v>
      </c>
    </row>
    <row r="324" spans="1:49" x14ac:dyDescent="0.4">
      <c r="A324">
        <v>2313017163</v>
      </c>
      <c r="B324">
        <v>2313017231</v>
      </c>
      <c r="C324" t="str">
        <f>T("친절하기는 얼어 죽을 68화")</f>
        <v>친절하기는 얼어 죽을 68화</v>
      </c>
      <c r="D324" t="str">
        <f>T("69")</f>
        <v>69</v>
      </c>
      <c r="E324" t="str">
        <f t="shared" si="63"/>
        <v>솜목화</v>
      </c>
      <c r="H324" t="str">
        <f t="shared" si="64"/>
        <v>블레슈</v>
      </c>
      <c r="I324" t="str">
        <f t="shared" si="65"/>
        <v>친절하기는 얼어 죽을</v>
      </c>
      <c r="J324">
        <v>100</v>
      </c>
      <c r="K324">
        <v>5700</v>
      </c>
      <c r="L324">
        <v>57</v>
      </c>
      <c r="M324">
        <v>0</v>
      </c>
      <c r="N324">
        <v>300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6000</v>
      </c>
      <c r="AH324">
        <v>60</v>
      </c>
      <c r="AI324">
        <v>0</v>
      </c>
      <c r="AJ324">
        <v>0</v>
      </c>
      <c r="AK324">
        <v>5910</v>
      </c>
      <c r="AL324">
        <v>0</v>
      </c>
      <c r="AM324">
        <v>108</v>
      </c>
      <c r="AN324">
        <v>-32.4</v>
      </c>
      <c r="AO324">
        <v>0</v>
      </c>
      <c r="AP324">
        <v>3591.36</v>
      </c>
      <c r="AR324" t="str">
        <f t="shared" si="66"/>
        <v>0000000000000</v>
      </c>
      <c r="AT324" t="str">
        <f t="shared" si="67"/>
        <v>9791137604131</v>
      </c>
      <c r="AV324" t="str">
        <f t="shared" si="68"/>
        <v>로맨스 웹소설 &gt; 현대물</v>
      </c>
    </row>
    <row r="325" spans="1:49" x14ac:dyDescent="0.4">
      <c r="A325">
        <v>2313017163</v>
      </c>
      <c r="B325">
        <v>2313017233</v>
      </c>
      <c r="C325" t="str">
        <f>T("친절하기는 얼어 죽을 70화")</f>
        <v>친절하기는 얼어 죽을 70화</v>
      </c>
      <c r="D325" t="str">
        <f>T("71")</f>
        <v>71</v>
      </c>
      <c r="E325" t="str">
        <f t="shared" si="63"/>
        <v>솜목화</v>
      </c>
      <c r="H325" t="str">
        <f t="shared" si="64"/>
        <v>블레슈</v>
      </c>
      <c r="I325" t="str">
        <f t="shared" si="65"/>
        <v>친절하기는 얼어 죽을</v>
      </c>
      <c r="J325">
        <v>100</v>
      </c>
      <c r="K325">
        <v>5700</v>
      </c>
      <c r="L325">
        <v>57</v>
      </c>
      <c r="M325">
        <v>0</v>
      </c>
      <c r="N325">
        <v>100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5800</v>
      </c>
      <c r="AH325">
        <v>58</v>
      </c>
      <c r="AI325">
        <v>0</v>
      </c>
      <c r="AJ325">
        <v>0</v>
      </c>
      <c r="AK325">
        <v>5710</v>
      </c>
      <c r="AL325">
        <v>0</v>
      </c>
      <c r="AM325">
        <v>108</v>
      </c>
      <c r="AN325">
        <v>-32.4</v>
      </c>
      <c r="AO325">
        <v>0</v>
      </c>
      <c r="AP325">
        <v>3471.36</v>
      </c>
      <c r="AR325" t="str">
        <f t="shared" si="66"/>
        <v>0000000000000</v>
      </c>
      <c r="AT325" t="str">
        <f t="shared" si="67"/>
        <v>9791137604131</v>
      </c>
      <c r="AV325" t="str">
        <f t="shared" si="68"/>
        <v>로맨스 웹소설 &gt; 현대물</v>
      </c>
    </row>
    <row r="326" spans="1:49" x14ac:dyDescent="0.4">
      <c r="A326">
        <v>2313017163</v>
      </c>
      <c r="B326">
        <v>2313017242</v>
      </c>
      <c r="C326" t="str">
        <f>T("친절하기는 얼어 죽을 79화")</f>
        <v>친절하기는 얼어 죽을 79화</v>
      </c>
      <c r="D326" t="str">
        <f>T("80")</f>
        <v>80</v>
      </c>
      <c r="E326" t="str">
        <f t="shared" si="63"/>
        <v>솜목화</v>
      </c>
      <c r="H326" t="str">
        <f t="shared" si="64"/>
        <v>블레슈</v>
      </c>
      <c r="I326" t="str">
        <f t="shared" si="65"/>
        <v>친절하기는 얼어 죽을</v>
      </c>
      <c r="J326">
        <v>100</v>
      </c>
      <c r="K326">
        <v>5700</v>
      </c>
      <c r="L326">
        <v>57</v>
      </c>
      <c r="M326">
        <v>0</v>
      </c>
      <c r="N326">
        <v>1200</v>
      </c>
      <c r="O326">
        <v>12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6900</v>
      </c>
      <c r="AH326">
        <v>71</v>
      </c>
      <c r="AI326">
        <v>0</v>
      </c>
      <c r="AJ326">
        <v>0</v>
      </c>
      <c r="AK326">
        <v>6810</v>
      </c>
      <c r="AL326">
        <v>0</v>
      </c>
      <c r="AM326">
        <v>108</v>
      </c>
      <c r="AN326">
        <v>-32.4</v>
      </c>
      <c r="AO326">
        <v>0</v>
      </c>
      <c r="AP326">
        <v>4131.3599999999997</v>
      </c>
      <c r="AR326" t="str">
        <f t="shared" si="66"/>
        <v>0000000000000</v>
      </c>
      <c r="AT326" t="str">
        <f t="shared" si="67"/>
        <v>9791137604131</v>
      </c>
      <c r="AV326" t="str">
        <f t="shared" si="68"/>
        <v>로맨스 웹소설 &gt; 현대물</v>
      </c>
    </row>
    <row r="327" spans="1:49" x14ac:dyDescent="0.4">
      <c r="A327">
        <v>2313017011</v>
      </c>
      <c r="B327">
        <v>2313017009</v>
      </c>
      <c r="C327" t="str">
        <f>T("[e북]친구의 고백 (외전증보판) 3권 (완결)")</f>
        <v>[e북]친구의 고백 (외전증보판) 3권 (완결)</v>
      </c>
      <c r="D327" t="str">
        <f>T("3")</f>
        <v>3</v>
      </c>
      <c r="E327" t="str">
        <f>T("빵양이")</f>
        <v>빵양이</v>
      </c>
      <c r="H327" t="str">
        <f>T("도서출판 태랑")</f>
        <v>도서출판 태랑</v>
      </c>
      <c r="I327" t="str">
        <f>T("[e북]친구의 고백 (외전증보판)")</f>
        <v>[e북]친구의 고백 (외전증보판)</v>
      </c>
      <c r="J327">
        <v>2800</v>
      </c>
      <c r="K327">
        <v>5600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5600</v>
      </c>
      <c r="AH327">
        <v>2</v>
      </c>
      <c r="AI327">
        <v>0</v>
      </c>
      <c r="AJ327">
        <v>0</v>
      </c>
      <c r="AK327">
        <v>5600</v>
      </c>
      <c r="AL327">
        <v>0</v>
      </c>
      <c r="AM327">
        <v>0</v>
      </c>
      <c r="AN327">
        <v>0</v>
      </c>
      <c r="AO327">
        <v>0</v>
      </c>
      <c r="AP327">
        <v>3920</v>
      </c>
      <c r="AT327" t="str">
        <f>T("9791164371617")</f>
        <v>9791164371617</v>
      </c>
      <c r="AV327" t="str">
        <f>T("로맨스 e북 &gt; 현대물")</f>
        <v>로맨스 e북 &gt; 현대물</v>
      </c>
      <c r="AW327" t="str">
        <f>T("로맨스 e북 &gt; 19+")</f>
        <v>로맨스 e북 &gt; 19+</v>
      </c>
    </row>
    <row r="328" spans="1:49" x14ac:dyDescent="0.4">
      <c r="A328">
        <v>2313017011</v>
      </c>
      <c r="B328">
        <v>2313017010</v>
      </c>
      <c r="C328" t="str">
        <f>T("[e북]친구의 고백 (외전증보판) 2권")</f>
        <v>[e북]친구의 고백 (외전증보판) 2권</v>
      </c>
      <c r="D328" t="str">
        <f>T("2")</f>
        <v>2</v>
      </c>
      <c r="E328" t="str">
        <f>T("빵양이")</f>
        <v>빵양이</v>
      </c>
      <c r="H328" t="str">
        <f>T("도서출판 태랑")</f>
        <v>도서출판 태랑</v>
      </c>
      <c r="I328" t="str">
        <f>T("[e북]친구의 고백 (외전증보판)")</f>
        <v>[e북]친구의 고백 (외전증보판)</v>
      </c>
      <c r="J328">
        <v>2800</v>
      </c>
      <c r="K328">
        <v>5600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5600</v>
      </c>
      <c r="AH328">
        <v>2</v>
      </c>
      <c r="AI328">
        <v>0</v>
      </c>
      <c r="AJ328">
        <v>0</v>
      </c>
      <c r="AK328">
        <v>5600</v>
      </c>
      <c r="AL328">
        <v>0</v>
      </c>
      <c r="AM328">
        <v>0</v>
      </c>
      <c r="AN328">
        <v>0</v>
      </c>
      <c r="AO328">
        <v>0</v>
      </c>
      <c r="AP328">
        <v>3920</v>
      </c>
      <c r="AT328" t="str">
        <f>T("9791164371600")</f>
        <v>9791164371600</v>
      </c>
      <c r="AV328" t="str">
        <f>T("로맨스 e북 &gt; 현대물")</f>
        <v>로맨스 e북 &gt; 현대물</v>
      </c>
      <c r="AW328" t="str">
        <f>T("로맨스 e북 &gt; 19+")</f>
        <v>로맨스 e북 &gt; 19+</v>
      </c>
    </row>
    <row r="329" spans="1:49" x14ac:dyDescent="0.4">
      <c r="A329">
        <v>2313017163</v>
      </c>
      <c r="B329">
        <v>2313017228</v>
      </c>
      <c r="C329" t="str">
        <f>T("친절하기는 얼어 죽을 65화")</f>
        <v>친절하기는 얼어 죽을 65화</v>
      </c>
      <c r="D329" t="str">
        <f>T("66")</f>
        <v>66</v>
      </c>
      <c r="E329" t="str">
        <f t="shared" ref="E329:E341" si="69">T("솜목화")</f>
        <v>솜목화</v>
      </c>
      <c r="H329" t="str">
        <f t="shared" ref="H329:H341" si="70">T("블레슈")</f>
        <v>블레슈</v>
      </c>
      <c r="I329" t="str">
        <f t="shared" ref="I329:I341" si="71">T("친절하기는 얼어 죽을")</f>
        <v>친절하기는 얼어 죽을</v>
      </c>
      <c r="J329">
        <v>100</v>
      </c>
      <c r="K329">
        <v>5600</v>
      </c>
      <c r="L329">
        <v>56</v>
      </c>
      <c r="M329">
        <v>0</v>
      </c>
      <c r="N329">
        <v>200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5800</v>
      </c>
      <c r="AH329">
        <v>58</v>
      </c>
      <c r="AI329">
        <v>0</v>
      </c>
      <c r="AJ329">
        <v>0</v>
      </c>
      <c r="AK329">
        <v>5710</v>
      </c>
      <c r="AL329">
        <v>0</v>
      </c>
      <c r="AM329">
        <v>108</v>
      </c>
      <c r="AN329">
        <v>-32.4</v>
      </c>
      <c r="AO329">
        <v>0</v>
      </c>
      <c r="AP329">
        <v>3471.36</v>
      </c>
      <c r="AR329" t="str">
        <f t="shared" ref="AR329:AR341" si="72">T("0000000000000")</f>
        <v>0000000000000</v>
      </c>
      <c r="AT329" t="str">
        <f t="shared" ref="AT329:AT341" si="73">T("9791137604131")</f>
        <v>9791137604131</v>
      </c>
      <c r="AV329" t="str">
        <f t="shared" ref="AV329:AV341" si="74">T("로맨스 웹소설 &gt; 현대물")</f>
        <v>로맨스 웹소설 &gt; 현대물</v>
      </c>
    </row>
    <row r="330" spans="1:49" x14ac:dyDescent="0.4">
      <c r="A330">
        <v>2313017163</v>
      </c>
      <c r="B330">
        <v>2313017229</v>
      </c>
      <c r="C330" t="str">
        <f>T("친절하기는 얼어 죽을 66화")</f>
        <v>친절하기는 얼어 죽을 66화</v>
      </c>
      <c r="D330" t="str">
        <f>T("67")</f>
        <v>67</v>
      </c>
      <c r="E330" t="str">
        <f t="shared" si="69"/>
        <v>솜목화</v>
      </c>
      <c r="H330" t="str">
        <f t="shared" si="70"/>
        <v>블레슈</v>
      </c>
      <c r="I330" t="str">
        <f t="shared" si="71"/>
        <v>친절하기는 얼어 죽을</v>
      </c>
      <c r="J330">
        <v>100</v>
      </c>
      <c r="K330">
        <v>5600</v>
      </c>
      <c r="L330">
        <v>56</v>
      </c>
      <c r="M330">
        <v>0</v>
      </c>
      <c r="N330">
        <v>100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5700</v>
      </c>
      <c r="AH330">
        <v>57</v>
      </c>
      <c r="AI330">
        <v>0</v>
      </c>
      <c r="AJ330">
        <v>0</v>
      </c>
      <c r="AK330">
        <v>5610</v>
      </c>
      <c r="AL330">
        <v>0</v>
      </c>
      <c r="AM330">
        <v>108</v>
      </c>
      <c r="AN330">
        <v>-32.4</v>
      </c>
      <c r="AO330">
        <v>0</v>
      </c>
      <c r="AP330">
        <v>3411.36</v>
      </c>
      <c r="AR330" t="str">
        <f t="shared" si="72"/>
        <v>0000000000000</v>
      </c>
      <c r="AT330" t="str">
        <f t="shared" si="73"/>
        <v>9791137604131</v>
      </c>
      <c r="AV330" t="str">
        <f t="shared" si="74"/>
        <v>로맨스 웹소설 &gt; 현대물</v>
      </c>
    </row>
    <row r="331" spans="1:49" x14ac:dyDescent="0.4">
      <c r="A331">
        <v>2313017163</v>
      </c>
      <c r="B331">
        <v>2313017230</v>
      </c>
      <c r="C331" t="str">
        <f>T("친절하기는 얼어 죽을 67화")</f>
        <v>친절하기는 얼어 죽을 67화</v>
      </c>
      <c r="D331" t="str">
        <f>T("68")</f>
        <v>68</v>
      </c>
      <c r="E331" t="str">
        <f t="shared" si="69"/>
        <v>솜목화</v>
      </c>
      <c r="H331" t="str">
        <f t="shared" si="70"/>
        <v>블레슈</v>
      </c>
      <c r="I331" t="str">
        <f t="shared" si="71"/>
        <v>친절하기는 얼어 죽을</v>
      </c>
      <c r="J331">
        <v>100</v>
      </c>
      <c r="K331">
        <v>5600</v>
      </c>
      <c r="L331">
        <v>56</v>
      </c>
      <c r="M331">
        <v>0</v>
      </c>
      <c r="N331">
        <v>100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5700</v>
      </c>
      <c r="AH331">
        <v>57</v>
      </c>
      <c r="AI331">
        <v>0</v>
      </c>
      <c r="AJ331">
        <v>0</v>
      </c>
      <c r="AK331">
        <v>5610</v>
      </c>
      <c r="AL331">
        <v>0</v>
      </c>
      <c r="AM331">
        <v>108</v>
      </c>
      <c r="AN331">
        <v>-32.4</v>
      </c>
      <c r="AO331">
        <v>0</v>
      </c>
      <c r="AP331">
        <v>3411.36</v>
      </c>
      <c r="AR331" t="str">
        <f t="shared" si="72"/>
        <v>0000000000000</v>
      </c>
      <c r="AT331" t="str">
        <f t="shared" si="73"/>
        <v>9791137604131</v>
      </c>
      <c r="AV331" t="str">
        <f t="shared" si="74"/>
        <v>로맨스 웹소설 &gt; 현대물</v>
      </c>
    </row>
    <row r="332" spans="1:49" x14ac:dyDescent="0.4">
      <c r="A332">
        <v>2313017163</v>
      </c>
      <c r="B332">
        <v>2313017245</v>
      </c>
      <c r="C332" t="str">
        <f>T("친절하기는 얼어 죽을 82화")</f>
        <v>친절하기는 얼어 죽을 82화</v>
      </c>
      <c r="D332" t="str">
        <f>T("83")</f>
        <v>83</v>
      </c>
      <c r="E332" t="str">
        <f t="shared" si="69"/>
        <v>솜목화</v>
      </c>
      <c r="H332" t="str">
        <f t="shared" si="70"/>
        <v>블레슈</v>
      </c>
      <c r="I332" t="str">
        <f t="shared" si="71"/>
        <v>친절하기는 얼어 죽을</v>
      </c>
      <c r="J332">
        <v>100</v>
      </c>
      <c r="K332">
        <v>5600</v>
      </c>
      <c r="L332">
        <v>56</v>
      </c>
      <c r="M332">
        <v>0</v>
      </c>
      <c r="N332">
        <v>900</v>
      </c>
      <c r="O332">
        <v>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6500</v>
      </c>
      <c r="AH332">
        <v>65</v>
      </c>
      <c r="AI332">
        <v>0</v>
      </c>
      <c r="AJ332">
        <v>0</v>
      </c>
      <c r="AK332">
        <v>6410</v>
      </c>
      <c r="AL332">
        <v>0</v>
      </c>
      <c r="AM332">
        <v>108</v>
      </c>
      <c r="AN332">
        <v>-32.4</v>
      </c>
      <c r="AO332">
        <v>0</v>
      </c>
      <c r="AP332">
        <v>3891.36</v>
      </c>
      <c r="AR332" t="str">
        <f t="shared" si="72"/>
        <v>0000000000000</v>
      </c>
      <c r="AT332" t="str">
        <f t="shared" si="73"/>
        <v>9791137604131</v>
      </c>
      <c r="AV332" t="str">
        <f t="shared" si="74"/>
        <v>로맨스 웹소설 &gt; 현대물</v>
      </c>
    </row>
    <row r="333" spans="1:49" x14ac:dyDescent="0.4">
      <c r="A333">
        <v>2313017163</v>
      </c>
      <c r="B333">
        <v>2313017226</v>
      </c>
      <c r="C333" t="str">
        <f>T("친절하기는 얼어 죽을 63화")</f>
        <v>친절하기는 얼어 죽을 63화</v>
      </c>
      <c r="D333" t="str">
        <f>T("64")</f>
        <v>64</v>
      </c>
      <c r="E333" t="str">
        <f t="shared" si="69"/>
        <v>솜목화</v>
      </c>
      <c r="H333" t="str">
        <f t="shared" si="70"/>
        <v>블레슈</v>
      </c>
      <c r="I333" t="str">
        <f t="shared" si="71"/>
        <v>친절하기는 얼어 죽을</v>
      </c>
      <c r="J333">
        <v>100</v>
      </c>
      <c r="K333">
        <v>5500</v>
      </c>
      <c r="L333">
        <v>55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5500</v>
      </c>
      <c r="AH333">
        <v>56</v>
      </c>
      <c r="AI333">
        <v>0</v>
      </c>
      <c r="AJ333">
        <v>0</v>
      </c>
      <c r="AK333">
        <v>5410</v>
      </c>
      <c r="AL333">
        <v>0</v>
      </c>
      <c r="AM333">
        <v>108</v>
      </c>
      <c r="AN333">
        <v>-32.4</v>
      </c>
      <c r="AO333">
        <v>0</v>
      </c>
      <c r="AP333">
        <v>3291.36</v>
      </c>
      <c r="AR333" t="str">
        <f t="shared" si="72"/>
        <v>0000000000000</v>
      </c>
      <c r="AT333" t="str">
        <f t="shared" si="73"/>
        <v>9791137604131</v>
      </c>
      <c r="AV333" t="str">
        <f t="shared" si="74"/>
        <v>로맨스 웹소설 &gt; 현대물</v>
      </c>
    </row>
    <row r="334" spans="1:49" x14ac:dyDescent="0.4">
      <c r="A334">
        <v>2313017163</v>
      </c>
      <c r="B334">
        <v>2313017234</v>
      </c>
      <c r="C334" t="str">
        <f>T("친절하기는 얼어 죽을 71화")</f>
        <v>친절하기는 얼어 죽을 71화</v>
      </c>
      <c r="D334" t="str">
        <f>T("72")</f>
        <v>72</v>
      </c>
      <c r="E334" t="str">
        <f t="shared" si="69"/>
        <v>솜목화</v>
      </c>
      <c r="H334" t="str">
        <f t="shared" si="70"/>
        <v>블레슈</v>
      </c>
      <c r="I334" t="str">
        <f t="shared" si="71"/>
        <v>친절하기는 얼어 죽을</v>
      </c>
      <c r="J334">
        <v>100</v>
      </c>
      <c r="K334">
        <v>5500</v>
      </c>
      <c r="L334">
        <v>55</v>
      </c>
      <c r="M334">
        <v>0</v>
      </c>
      <c r="N334">
        <v>400</v>
      </c>
      <c r="O334">
        <v>4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5900</v>
      </c>
      <c r="AH334">
        <v>60</v>
      </c>
      <c r="AI334">
        <v>0</v>
      </c>
      <c r="AJ334">
        <v>0</v>
      </c>
      <c r="AK334">
        <v>5810</v>
      </c>
      <c r="AL334">
        <v>0</v>
      </c>
      <c r="AM334">
        <v>108</v>
      </c>
      <c r="AN334">
        <v>-32.4</v>
      </c>
      <c r="AO334">
        <v>0</v>
      </c>
      <c r="AP334">
        <v>3531.36</v>
      </c>
      <c r="AR334" t="str">
        <f t="shared" si="72"/>
        <v>0000000000000</v>
      </c>
      <c r="AT334" t="str">
        <f t="shared" si="73"/>
        <v>9791137604131</v>
      </c>
      <c r="AV334" t="str">
        <f t="shared" si="74"/>
        <v>로맨스 웹소설 &gt; 현대물</v>
      </c>
    </row>
    <row r="335" spans="1:49" x14ac:dyDescent="0.4">
      <c r="A335">
        <v>2313017163</v>
      </c>
      <c r="B335">
        <v>2313017241</v>
      </c>
      <c r="C335" t="str">
        <f>T("친절하기는 얼어 죽을 78화")</f>
        <v>친절하기는 얼어 죽을 78화</v>
      </c>
      <c r="D335" t="str">
        <f>T("79")</f>
        <v>79</v>
      </c>
      <c r="E335" t="str">
        <f t="shared" si="69"/>
        <v>솜목화</v>
      </c>
      <c r="H335" t="str">
        <f t="shared" si="70"/>
        <v>블레슈</v>
      </c>
      <c r="I335" t="str">
        <f t="shared" si="71"/>
        <v>친절하기는 얼어 죽을</v>
      </c>
      <c r="J335">
        <v>100</v>
      </c>
      <c r="K335">
        <v>5500</v>
      </c>
      <c r="L335">
        <v>55</v>
      </c>
      <c r="M335">
        <v>0</v>
      </c>
      <c r="N335">
        <v>400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-100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5900</v>
      </c>
      <c r="AH335">
        <v>59</v>
      </c>
      <c r="AI335">
        <v>-100</v>
      </c>
      <c r="AJ335">
        <v>1</v>
      </c>
      <c r="AK335">
        <v>5810</v>
      </c>
      <c r="AL335">
        <v>-100</v>
      </c>
      <c r="AM335">
        <v>108</v>
      </c>
      <c r="AN335">
        <v>-32.4</v>
      </c>
      <c r="AO335">
        <v>0</v>
      </c>
      <c r="AP335">
        <v>3471.36</v>
      </c>
      <c r="AR335" t="str">
        <f t="shared" si="72"/>
        <v>0000000000000</v>
      </c>
      <c r="AT335" t="str">
        <f t="shared" si="73"/>
        <v>9791137604131</v>
      </c>
      <c r="AV335" t="str">
        <f t="shared" si="74"/>
        <v>로맨스 웹소설 &gt; 현대물</v>
      </c>
    </row>
    <row r="336" spans="1:49" x14ac:dyDescent="0.4">
      <c r="A336">
        <v>2313017163</v>
      </c>
      <c r="B336">
        <v>2313017235</v>
      </c>
      <c r="C336" t="str">
        <f>T("친절하기는 얼어 죽을 72화")</f>
        <v>친절하기는 얼어 죽을 72화</v>
      </c>
      <c r="D336" t="str">
        <f>T("73")</f>
        <v>73</v>
      </c>
      <c r="E336" t="str">
        <f t="shared" si="69"/>
        <v>솜목화</v>
      </c>
      <c r="H336" t="str">
        <f t="shared" si="70"/>
        <v>블레슈</v>
      </c>
      <c r="I336" t="str">
        <f t="shared" si="71"/>
        <v>친절하기는 얼어 죽을</v>
      </c>
      <c r="J336">
        <v>100</v>
      </c>
      <c r="K336">
        <v>5400</v>
      </c>
      <c r="L336">
        <v>54</v>
      </c>
      <c r="M336">
        <v>0</v>
      </c>
      <c r="N336">
        <v>500</v>
      </c>
      <c r="O336">
        <v>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5900</v>
      </c>
      <c r="AH336">
        <v>59</v>
      </c>
      <c r="AI336">
        <v>0</v>
      </c>
      <c r="AJ336">
        <v>0</v>
      </c>
      <c r="AK336">
        <v>5810</v>
      </c>
      <c r="AL336">
        <v>0</v>
      </c>
      <c r="AM336">
        <v>108</v>
      </c>
      <c r="AN336">
        <v>-32.4</v>
      </c>
      <c r="AO336">
        <v>0</v>
      </c>
      <c r="AP336">
        <v>3531.36</v>
      </c>
      <c r="AR336" t="str">
        <f t="shared" si="72"/>
        <v>0000000000000</v>
      </c>
      <c r="AT336" t="str">
        <f t="shared" si="73"/>
        <v>9791137604131</v>
      </c>
      <c r="AV336" t="str">
        <f t="shared" si="74"/>
        <v>로맨스 웹소설 &gt; 현대물</v>
      </c>
    </row>
    <row r="337" spans="1:49" x14ac:dyDescent="0.4">
      <c r="A337">
        <v>2313017163</v>
      </c>
      <c r="B337">
        <v>2313017238</v>
      </c>
      <c r="C337" t="str">
        <f>T("친절하기는 얼어 죽을 75화")</f>
        <v>친절하기는 얼어 죽을 75화</v>
      </c>
      <c r="D337" t="str">
        <f>T("76")</f>
        <v>76</v>
      </c>
      <c r="E337" t="str">
        <f t="shared" si="69"/>
        <v>솜목화</v>
      </c>
      <c r="H337" t="str">
        <f t="shared" si="70"/>
        <v>블레슈</v>
      </c>
      <c r="I337" t="str">
        <f t="shared" si="71"/>
        <v>친절하기는 얼어 죽을</v>
      </c>
      <c r="J337">
        <v>100</v>
      </c>
      <c r="K337">
        <v>5400</v>
      </c>
      <c r="L337">
        <v>54</v>
      </c>
      <c r="M337">
        <v>0</v>
      </c>
      <c r="N337">
        <v>300</v>
      </c>
      <c r="O337">
        <v>3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5700</v>
      </c>
      <c r="AH337">
        <v>58</v>
      </c>
      <c r="AI337">
        <v>0</v>
      </c>
      <c r="AJ337">
        <v>0</v>
      </c>
      <c r="AK337">
        <v>5610</v>
      </c>
      <c r="AL337">
        <v>0</v>
      </c>
      <c r="AM337">
        <v>108</v>
      </c>
      <c r="AN337">
        <v>-32.4</v>
      </c>
      <c r="AO337">
        <v>0</v>
      </c>
      <c r="AP337">
        <v>3411.36</v>
      </c>
      <c r="AR337" t="str">
        <f t="shared" si="72"/>
        <v>0000000000000</v>
      </c>
      <c r="AT337" t="str">
        <f t="shared" si="73"/>
        <v>9791137604131</v>
      </c>
      <c r="AV337" t="str">
        <f t="shared" si="74"/>
        <v>로맨스 웹소설 &gt; 현대물</v>
      </c>
    </row>
    <row r="338" spans="1:49" x14ac:dyDescent="0.4">
      <c r="A338">
        <v>2313017163</v>
      </c>
      <c r="B338">
        <v>2313017239</v>
      </c>
      <c r="C338" t="str">
        <f>T("친절하기는 얼어 죽을 76화")</f>
        <v>친절하기는 얼어 죽을 76화</v>
      </c>
      <c r="D338" t="str">
        <f>T("77")</f>
        <v>77</v>
      </c>
      <c r="E338" t="str">
        <f t="shared" si="69"/>
        <v>솜목화</v>
      </c>
      <c r="H338" t="str">
        <f t="shared" si="70"/>
        <v>블레슈</v>
      </c>
      <c r="I338" t="str">
        <f t="shared" si="71"/>
        <v>친절하기는 얼어 죽을</v>
      </c>
      <c r="J338">
        <v>100</v>
      </c>
      <c r="K338">
        <v>5400</v>
      </c>
      <c r="L338">
        <v>54</v>
      </c>
      <c r="M338">
        <v>0</v>
      </c>
      <c r="N338">
        <v>200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5600</v>
      </c>
      <c r="AH338">
        <v>56</v>
      </c>
      <c r="AI338">
        <v>0</v>
      </c>
      <c r="AJ338">
        <v>0</v>
      </c>
      <c r="AK338">
        <v>5510</v>
      </c>
      <c r="AL338">
        <v>0</v>
      </c>
      <c r="AM338">
        <v>108</v>
      </c>
      <c r="AN338">
        <v>-32.4</v>
      </c>
      <c r="AO338">
        <v>0</v>
      </c>
      <c r="AP338">
        <v>3351.36</v>
      </c>
      <c r="AR338" t="str">
        <f t="shared" si="72"/>
        <v>0000000000000</v>
      </c>
      <c r="AT338" t="str">
        <f t="shared" si="73"/>
        <v>9791137604131</v>
      </c>
      <c r="AV338" t="str">
        <f t="shared" si="74"/>
        <v>로맨스 웹소설 &gt; 현대물</v>
      </c>
    </row>
    <row r="339" spans="1:49" x14ac:dyDescent="0.4">
      <c r="A339">
        <v>2313017163</v>
      </c>
      <c r="B339">
        <v>2313017236</v>
      </c>
      <c r="C339" t="str">
        <f>T("친절하기는 얼어 죽을 73화")</f>
        <v>친절하기는 얼어 죽을 73화</v>
      </c>
      <c r="D339" t="str">
        <f>T("74")</f>
        <v>74</v>
      </c>
      <c r="E339" t="str">
        <f t="shared" si="69"/>
        <v>솜목화</v>
      </c>
      <c r="H339" t="str">
        <f t="shared" si="70"/>
        <v>블레슈</v>
      </c>
      <c r="I339" t="str">
        <f t="shared" si="71"/>
        <v>친절하기는 얼어 죽을</v>
      </c>
      <c r="J339">
        <v>100</v>
      </c>
      <c r="K339">
        <v>5300</v>
      </c>
      <c r="L339">
        <v>53</v>
      </c>
      <c r="M339">
        <v>0</v>
      </c>
      <c r="N339">
        <v>200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5500</v>
      </c>
      <c r="AH339">
        <v>55</v>
      </c>
      <c r="AI339">
        <v>0</v>
      </c>
      <c r="AJ339">
        <v>0</v>
      </c>
      <c r="AK339">
        <v>5410</v>
      </c>
      <c r="AL339">
        <v>0</v>
      </c>
      <c r="AM339">
        <v>108</v>
      </c>
      <c r="AN339">
        <v>-32.4</v>
      </c>
      <c r="AO339">
        <v>0</v>
      </c>
      <c r="AP339">
        <v>3291.36</v>
      </c>
      <c r="AR339" t="str">
        <f t="shared" si="72"/>
        <v>0000000000000</v>
      </c>
      <c r="AT339" t="str">
        <f t="shared" si="73"/>
        <v>9791137604131</v>
      </c>
      <c r="AV339" t="str">
        <f t="shared" si="74"/>
        <v>로맨스 웹소설 &gt; 현대물</v>
      </c>
    </row>
    <row r="340" spans="1:49" x14ac:dyDescent="0.4">
      <c r="A340">
        <v>2313017163</v>
      </c>
      <c r="B340">
        <v>2313017237</v>
      </c>
      <c r="C340" t="str">
        <f>T("친절하기는 얼어 죽을 74화")</f>
        <v>친절하기는 얼어 죽을 74화</v>
      </c>
      <c r="D340" t="str">
        <f>T("75")</f>
        <v>75</v>
      </c>
      <c r="E340" t="str">
        <f t="shared" si="69"/>
        <v>솜목화</v>
      </c>
      <c r="H340" t="str">
        <f t="shared" si="70"/>
        <v>블레슈</v>
      </c>
      <c r="I340" t="str">
        <f t="shared" si="71"/>
        <v>친절하기는 얼어 죽을</v>
      </c>
      <c r="J340">
        <v>100</v>
      </c>
      <c r="K340">
        <v>5300</v>
      </c>
      <c r="L340">
        <v>53</v>
      </c>
      <c r="M340">
        <v>0</v>
      </c>
      <c r="N340">
        <v>300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5600</v>
      </c>
      <c r="AH340">
        <v>56</v>
      </c>
      <c r="AI340">
        <v>0</v>
      </c>
      <c r="AJ340">
        <v>0</v>
      </c>
      <c r="AK340">
        <v>5510</v>
      </c>
      <c r="AL340">
        <v>0</v>
      </c>
      <c r="AM340">
        <v>108</v>
      </c>
      <c r="AN340">
        <v>-32.4</v>
      </c>
      <c r="AO340">
        <v>0</v>
      </c>
      <c r="AP340">
        <v>3351.36</v>
      </c>
      <c r="AR340" t="str">
        <f t="shared" si="72"/>
        <v>0000000000000</v>
      </c>
      <c r="AT340" t="str">
        <f t="shared" si="73"/>
        <v>9791137604131</v>
      </c>
      <c r="AV340" t="str">
        <f t="shared" si="74"/>
        <v>로맨스 웹소설 &gt; 현대물</v>
      </c>
    </row>
    <row r="341" spans="1:49" x14ac:dyDescent="0.4">
      <c r="A341">
        <v>2313017163</v>
      </c>
      <c r="B341">
        <v>2313017240</v>
      </c>
      <c r="C341" t="str">
        <f>T("친절하기는 얼어 죽을 77화")</f>
        <v>친절하기는 얼어 죽을 77화</v>
      </c>
      <c r="D341" t="str">
        <f>T("78")</f>
        <v>78</v>
      </c>
      <c r="E341" t="str">
        <f t="shared" si="69"/>
        <v>솜목화</v>
      </c>
      <c r="H341" t="str">
        <f t="shared" si="70"/>
        <v>블레슈</v>
      </c>
      <c r="I341" t="str">
        <f t="shared" si="71"/>
        <v>친절하기는 얼어 죽을</v>
      </c>
      <c r="J341">
        <v>100</v>
      </c>
      <c r="K341">
        <v>5200</v>
      </c>
      <c r="L341">
        <v>52</v>
      </c>
      <c r="M341">
        <v>0</v>
      </c>
      <c r="N341">
        <v>500</v>
      </c>
      <c r="O341">
        <v>5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5700</v>
      </c>
      <c r="AH341">
        <v>58</v>
      </c>
      <c r="AI341">
        <v>0</v>
      </c>
      <c r="AJ341">
        <v>0</v>
      </c>
      <c r="AK341">
        <v>5610</v>
      </c>
      <c r="AL341">
        <v>0</v>
      </c>
      <c r="AM341">
        <v>108</v>
      </c>
      <c r="AN341">
        <v>-32.4</v>
      </c>
      <c r="AO341">
        <v>0</v>
      </c>
      <c r="AP341">
        <v>3411.36</v>
      </c>
      <c r="AR341" t="str">
        <f t="shared" si="72"/>
        <v>0000000000000</v>
      </c>
      <c r="AT341" t="str">
        <f t="shared" si="73"/>
        <v>9791137604131</v>
      </c>
      <c r="AV341" t="str">
        <f t="shared" si="74"/>
        <v>로맨스 웹소설 &gt; 현대물</v>
      </c>
    </row>
    <row r="342" spans="1:49" x14ac:dyDescent="0.4">
      <c r="A342">
        <v>2313017657</v>
      </c>
      <c r="B342">
        <v>2313017687</v>
      </c>
      <c r="C342" t="str">
        <f>T("회귀자의 슬기로운 복수생활 31화")</f>
        <v>회귀자의 슬기로운 복수생활 31화</v>
      </c>
      <c r="D342" t="str">
        <f>T("31")</f>
        <v>31</v>
      </c>
      <c r="E342" t="str">
        <f>T("구공")</f>
        <v>구공</v>
      </c>
      <c r="H342" t="str">
        <f>T("스토리위즈")</f>
        <v>스토리위즈</v>
      </c>
      <c r="I342" t="str">
        <f>T("회귀자의 슬기로운 복수생활")</f>
        <v>회귀자의 슬기로운 복수생활</v>
      </c>
      <c r="J342">
        <v>100</v>
      </c>
      <c r="K342">
        <v>5100</v>
      </c>
      <c r="L342">
        <v>51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5100</v>
      </c>
      <c r="AH342">
        <v>51</v>
      </c>
      <c r="AI342">
        <v>0</v>
      </c>
      <c r="AJ342">
        <v>0</v>
      </c>
      <c r="AK342">
        <v>5100</v>
      </c>
      <c r="AL342">
        <v>0</v>
      </c>
      <c r="AM342">
        <v>0</v>
      </c>
      <c r="AN342">
        <v>0</v>
      </c>
      <c r="AO342">
        <v>0</v>
      </c>
      <c r="AP342">
        <v>3570</v>
      </c>
      <c r="AT342" t="str">
        <f>T("9791137601710")</f>
        <v>9791137601710</v>
      </c>
      <c r="AV342" t="str">
        <f>T("판타지 웹소설 &gt; 퓨전 판타지")</f>
        <v>판타지 웹소설 &gt; 퓨전 판타지</v>
      </c>
    </row>
    <row r="343" spans="1:49" x14ac:dyDescent="0.4">
      <c r="A343">
        <v>2313017081</v>
      </c>
      <c r="B343">
        <v>2313017057</v>
      </c>
      <c r="C343" t="str">
        <f>T("[e북]골 때리는 사랑 (외전)")</f>
        <v>[e북]골 때리는 사랑 (외전)</v>
      </c>
      <c r="D343" t="str">
        <f>T("3")</f>
        <v>3</v>
      </c>
      <c r="E343" t="str">
        <f>T("모리미")</f>
        <v>모리미</v>
      </c>
      <c r="H343" t="str">
        <f>T("도서출판 태랑")</f>
        <v>도서출판 태랑</v>
      </c>
      <c r="I343" t="str">
        <f>T("[e북]골 때리는 사랑")</f>
        <v>[e북]골 때리는 사랑</v>
      </c>
      <c r="J343">
        <v>500</v>
      </c>
      <c r="K343">
        <v>5000</v>
      </c>
      <c r="L343">
        <v>10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5000</v>
      </c>
      <c r="AH343">
        <v>10</v>
      </c>
      <c r="AI343">
        <v>0</v>
      </c>
      <c r="AJ343">
        <v>0</v>
      </c>
      <c r="AK343">
        <v>5000</v>
      </c>
      <c r="AL343">
        <v>0</v>
      </c>
      <c r="AM343">
        <v>0</v>
      </c>
      <c r="AN343">
        <v>0</v>
      </c>
      <c r="AO343">
        <v>0</v>
      </c>
      <c r="AP343">
        <v>3500</v>
      </c>
      <c r="AT343" t="str">
        <f>T("9791164370719")</f>
        <v>9791164370719</v>
      </c>
      <c r="AV343" t="str">
        <f>T("BL 소설 e북 &gt; 현대물")</f>
        <v>BL 소설 e북 &gt; 현대물</v>
      </c>
    </row>
    <row r="344" spans="1:49" x14ac:dyDescent="0.4">
      <c r="B344">
        <v>2313017034</v>
      </c>
      <c r="C344" t="str">
        <f>T("[e북]꽂히다 (외전증보판)")</f>
        <v>[e북]꽂히다 (외전증보판)</v>
      </c>
      <c r="E344" t="str">
        <f>T("스내치")</f>
        <v>스내치</v>
      </c>
      <c r="H344" t="str">
        <f>T("도서출판 태랑")</f>
        <v>도서출판 태랑</v>
      </c>
      <c r="J344">
        <v>4900</v>
      </c>
      <c r="K344">
        <v>4900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4900</v>
      </c>
      <c r="AH344">
        <v>1</v>
      </c>
      <c r="AI344">
        <v>0</v>
      </c>
      <c r="AJ344">
        <v>0</v>
      </c>
      <c r="AK344">
        <v>4900</v>
      </c>
      <c r="AL344">
        <v>0</v>
      </c>
      <c r="AM344">
        <v>0</v>
      </c>
      <c r="AN344">
        <v>0</v>
      </c>
      <c r="AO344">
        <v>0</v>
      </c>
      <c r="AP344">
        <v>3430</v>
      </c>
      <c r="AT344" t="str">
        <f>T("9791164371112")</f>
        <v>9791164371112</v>
      </c>
      <c r="AV344" t="str">
        <f>T("로맨스 e북 &gt; 현대물")</f>
        <v>로맨스 e북 &gt; 현대물</v>
      </c>
      <c r="AW344" t="str">
        <f>T("로맨스 e북 &gt; 19+")</f>
        <v>로맨스 e북 &gt; 19+</v>
      </c>
    </row>
    <row r="345" spans="1:49" x14ac:dyDescent="0.4">
      <c r="A345">
        <v>2313017657</v>
      </c>
      <c r="B345">
        <v>2313017690</v>
      </c>
      <c r="C345" t="str">
        <f>T("회귀자의 슬기로운 복수생활 34화")</f>
        <v>회귀자의 슬기로운 복수생활 34화</v>
      </c>
      <c r="D345" t="str">
        <f>T("34")</f>
        <v>34</v>
      </c>
      <c r="E345" t="str">
        <f>T("구공")</f>
        <v>구공</v>
      </c>
      <c r="H345" t="str">
        <f>T("스토리위즈")</f>
        <v>스토리위즈</v>
      </c>
      <c r="I345" t="str">
        <f>T("회귀자의 슬기로운 복수생활")</f>
        <v>회귀자의 슬기로운 복수생활</v>
      </c>
      <c r="J345">
        <v>100</v>
      </c>
      <c r="K345">
        <v>4900</v>
      </c>
      <c r="L345">
        <v>49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4900</v>
      </c>
      <c r="AH345">
        <v>49</v>
      </c>
      <c r="AI345">
        <v>0</v>
      </c>
      <c r="AJ345">
        <v>0</v>
      </c>
      <c r="AK345">
        <v>4900</v>
      </c>
      <c r="AL345">
        <v>0</v>
      </c>
      <c r="AM345">
        <v>0</v>
      </c>
      <c r="AN345">
        <v>0</v>
      </c>
      <c r="AO345">
        <v>0</v>
      </c>
      <c r="AP345">
        <v>3430</v>
      </c>
      <c r="AT345" t="str">
        <f>T("9791137601710")</f>
        <v>9791137601710</v>
      </c>
      <c r="AV345" t="str">
        <f>T("판타지 웹소설 &gt; 퓨전 판타지")</f>
        <v>판타지 웹소설 &gt; 퓨전 판타지</v>
      </c>
    </row>
    <row r="346" spans="1:49" x14ac:dyDescent="0.4">
      <c r="A346">
        <v>2313017657</v>
      </c>
      <c r="B346">
        <v>2313017692</v>
      </c>
      <c r="C346" t="str">
        <f>T("회귀자의 슬기로운 복수생활 36화")</f>
        <v>회귀자의 슬기로운 복수생활 36화</v>
      </c>
      <c r="D346" t="str">
        <f>T("36")</f>
        <v>36</v>
      </c>
      <c r="E346" t="str">
        <f>T("구공")</f>
        <v>구공</v>
      </c>
      <c r="H346" t="str">
        <f>T("스토리위즈")</f>
        <v>스토리위즈</v>
      </c>
      <c r="I346" t="str">
        <f>T("회귀자의 슬기로운 복수생활")</f>
        <v>회귀자의 슬기로운 복수생활</v>
      </c>
      <c r="J346">
        <v>100</v>
      </c>
      <c r="K346">
        <v>4900</v>
      </c>
      <c r="L346">
        <v>49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4900</v>
      </c>
      <c r="AH346">
        <v>49</v>
      </c>
      <c r="AI346">
        <v>0</v>
      </c>
      <c r="AJ346">
        <v>0</v>
      </c>
      <c r="AK346">
        <v>4900</v>
      </c>
      <c r="AL346">
        <v>0</v>
      </c>
      <c r="AM346">
        <v>0</v>
      </c>
      <c r="AN346">
        <v>0</v>
      </c>
      <c r="AO346">
        <v>0</v>
      </c>
      <c r="AP346">
        <v>3430</v>
      </c>
      <c r="AT346" t="str">
        <f>T("9791137601710")</f>
        <v>9791137601710</v>
      </c>
      <c r="AV346" t="str">
        <f>T("판타지 웹소설 &gt; 퓨전 판타지")</f>
        <v>판타지 웹소설 &gt; 퓨전 판타지</v>
      </c>
    </row>
    <row r="347" spans="1:49" x14ac:dyDescent="0.4">
      <c r="A347">
        <v>2313017657</v>
      </c>
      <c r="B347">
        <v>2313017693</v>
      </c>
      <c r="C347" t="str">
        <f>T("회귀자의 슬기로운 복수생활 37화")</f>
        <v>회귀자의 슬기로운 복수생활 37화</v>
      </c>
      <c r="D347" t="str">
        <f>T("37")</f>
        <v>37</v>
      </c>
      <c r="E347" t="str">
        <f>T("구공")</f>
        <v>구공</v>
      </c>
      <c r="H347" t="str">
        <f>T("스토리위즈")</f>
        <v>스토리위즈</v>
      </c>
      <c r="I347" t="str">
        <f>T("회귀자의 슬기로운 복수생활")</f>
        <v>회귀자의 슬기로운 복수생활</v>
      </c>
      <c r="J347">
        <v>100</v>
      </c>
      <c r="K347">
        <v>4900</v>
      </c>
      <c r="L347">
        <v>49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4900</v>
      </c>
      <c r="AH347">
        <v>49</v>
      </c>
      <c r="AI347">
        <v>0</v>
      </c>
      <c r="AJ347">
        <v>0</v>
      </c>
      <c r="AK347">
        <v>4900</v>
      </c>
      <c r="AL347">
        <v>0</v>
      </c>
      <c r="AM347">
        <v>0</v>
      </c>
      <c r="AN347">
        <v>0</v>
      </c>
      <c r="AO347">
        <v>0</v>
      </c>
      <c r="AP347">
        <v>3430</v>
      </c>
      <c r="AT347" t="str">
        <f>T("9791137601710")</f>
        <v>9791137601710</v>
      </c>
      <c r="AV347" t="str">
        <f>T("판타지 웹소설 &gt; 퓨전 판타지")</f>
        <v>판타지 웹소설 &gt; 퓨전 판타지</v>
      </c>
    </row>
    <row r="348" spans="1:49" x14ac:dyDescent="0.4">
      <c r="A348">
        <v>2313016897</v>
      </c>
      <c r="B348">
        <v>2313016897</v>
      </c>
      <c r="C348" t="str">
        <f>T("[e북]선택된 남자 1권")</f>
        <v>[e북]선택된 남자 1권</v>
      </c>
      <c r="D348" t="str">
        <f>T("1")</f>
        <v>1</v>
      </c>
      <c r="E348" t="str">
        <f>T("모리미")</f>
        <v>모리미</v>
      </c>
      <c r="H348" t="str">
        <f>T("도서출판 태랑")</f>
        <v>도서출판 태랑</v>
      </c>
      <c r="I348" t="str">
        <f>T("[e북]선택된 남자")</f>
        <v>[e북]선택된 남자</v>
      </c>
      <c r="J348">
        <v>2400</v>
      </c>
      <c r="K348">
        <v>4800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4800</v>
      </c>
      <c r="AH348">
        <v>2</v>
      </c>
      <c r="AI348">
        <v>0</v>
      </c>
      <c r="AJ348">
        <v>0</v>
      </c>
      <c r="AK348">
        <v>4800</v>
      </c>
      <c r="AL348">
        <v>0</v>
      </c>
      <c r="AM348">
        <v>0</v>
      </c>
      <c r="AN348">
        <v>0</v>
      </c>
      <c r="AO348">
        <v>0</v>
      </c>
      <c r="AP348">
        <v>3360</v>
      </c>
      <c r="AT348" t="str">
        <f>T("9791164374168")</f>
        <v>9791164374168</v>
      </c>
      <c r="AV348" t="str">
        <f>T("BL 소설 e북 &gt; 현대물")</f>
        <v>BL 소설 e북 &gt; 현대물</v>
      </c>
    </row>
    <row r="349" spans="1:49" x14ac:dyDescent="0.4">
      <c r="A349">
        <v>2313017657</v>
      </c>
      <c r="B349">
        <v>2313017691</v>
      </c>
      <c r="C349" t="str">
        <f>T("회귀자의 슬기로운 복수생활 35화")</f>
        <v>회귀자의 슬기로운 복수생활 35화</v>
      </c>
      <c r="D349" t="str">
        <f>T("35")</f>
        <v>35</v>
      </c>
      <c r="E349" t="str">
        <f t="shared" ref="E349:E354" si="75">T("구공")</f>
        <v>구공</v>
      </c>
      <c r="H349" t="str">
        <f t="shared" ref="H349:H356" si="76">T("스토리위즈")</f>
        <v>스토리위즈</v>
      </c>
      <c r="I349" t="str">
        <f t="shared" ref="I349:I354" si="77">T("회귀자의 슬기로운 복수생활")</f>
        <v>회귀자의 슬기로운 복수생활</v>
      </c>
      <c r="J349">
        <v>100</v>
      </c>
      <c r="K349">
        <v>4800</v>
      </c>
      <c r="L349">
        <v>48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4800</v>
      </c>
      <c r="AH349">
        <v>48</v>
      </c>
      <c r="AI349">
        <v>0</v>
      </c>
      <c r="AJ349">
        <v>0</v>
      </c>
      <c r="AK349">
        <v>4800</v>
      </c>
      <c r="AL349">
        <v>0</v>
      </c>
      <c r="AM349">
        <v>0</v>
      </c>
      <c r="AN349">
        <v>0</v>
      </c>
      <c r="AO349">
        <v>0</v>
      </c>
      <c r="AP349">
        <v>3360</v>
      </c>
      <c r="AT349" t="str">
        <f t="shared" ref="AT349:AT354" si="78">T("9791137601710")</f>
        <v>9791137601710</v>
      </c>
      <c r="AV349" t="str">
        <f t="shared" ref="AV349:AV354" si="79">T("판타지 웹소설 &gt; 퓨전 판타지")</f>
        <v>판타지 웹소설 &gt; 퓨전 판타지</v>
      </c>
    </row>
    <row r="350" spans="1:49" x14ac:dyDescent="0.4">
      <c r="A350">
        <v>2313017657</v>
      </c>
      <c r="B350">
        <v>2313017688</v>
      </c>
      <c r="C350" t="str">
        <f>T("회귀자의 슬기로운 복수생활 32화")</f>
        <v>회귀자의 슬기로운 복수생활 32화</v>
      </c>
      <c r="D350" t="str">
        <f>T("32")</f>
        <v>32</v>
      </c>
      <c r="E350" t="str">
        <f t="shared" si="75"/>
        <v>구공</v>
      </c>
      <c r="H350" t="str">
        <f t="shared" si="76"/>
        <v>스토리위즈</v>
      </c>
      <c r="I350" t="str">
        <f t="shared" si="77"/>
        <v>회귀자의 슬기로운 복수생활</v>
      </c>
      <c r="J350">
        <v>100</v>
      </c>
      <c r="K350">
        <v>4700</v>
      </c>
      <c r="L350">
        <v>47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4700</v>
      </c>
      <c r="AH350">
        <v>47</v>
      </c>
      <c r="AI350">
        <v>0</v>
      </c>
      <c r="AJ350">
        <v>0</v>
      </c>
      <c r="AK350">
        <v>4700</v>
      </c>
      <c r="AL350">
        <v>0</v>
      </c>
      <c r="AM350">
        <v>0</v>
      </c>
      <c r="AN350">
        <v>0</v>
      </c>
      <c r="AO350">
        <v>0</v>
      </c>
      <c r="AP350">
        <v>3290</v>
      </c>
      <c r="AT350" t="str">
        <f t="shared" si="78"/>
        <v>9791137601710</v>
      </c>
      <c r="AV350" t="str">
        <f t="shared" si="79"/>
        <v>판타지 웹소설 &gt; 퓨전 판타지</v>
      </c>
    </row>
    <row r="351" spans="1:49" x14ac:dyDescent="0.4">
      <c r="A351">
        <v>2313017657</v>
      </c>
      <c r="B351">
        <v>2313017689</v>
      </c>
      <c r="C351" t="str">
        <f>T("회귀자의 슬기로운 복수생활 33화")</f>
        <v>회귀자의 슬기로운 복수생활 33화</v>
      </c>
      <c r="D351" t="str">
        <f>T("33")</f>
        <v>33</v>
      </c>
      <c r="E351" t="str">
        <f t="shared" si="75"/>
        <v>구공</v>
      </c>
      <c r="H351" t="str">
        <f t="shared" si="76"/>
        <v>스토리위즈</v>
      </c>
      <c r="I351" t="str">
        <f t="shared" si="77"/>
        <v>회귀자의 슬기로운 복수생활</v>
      </c>
      <c r="J351">
        <v>100</v>
      </c>
      <c r="K351">
        <v>4700</v>
      </c>
      <c r="L351">
        <v>47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4700</v>
      </c>
      <c r="AH351">
        <v>47</v>
      </c>
      <c r="AI351">
        <v>0</v>
      </c>
      <c r="AJ351">
        <v>0</v>
      </c>
      <c r="AK351">
        <v>4700</v>
      </c>
      <c r="AL351">
        <v>0</v>
      </c>
      <c r="AM351">
        <v>0</v>
      </c>
      <c r="AN351">
        <v>0</v>
      </c>
      <c r="AO351">
        <v>0</v>
      </c>
      <c r="AP351">
        <v>3290</v>
      </c>
      <c r="AT351" t="str">
        <f t="shared" si="78"/>
        <v>9791137601710</v>
      </c>
      <c r="AV351" t="str">
        <f t="shared" si="79"/>
        <v>판타지 웹소설 &gt; 퓨전 판타지</v>
      </c>
    </row>
    <row r="352" spans="1:49" x14ac:dyDescent="0.4">
      <c r="A352">
        <v>2313017657</v>
      </c>
      <c r="B352">
        <v>2313017694</v>
      </c>
      <c r="C352" t="str">
        <f>T("회귀자의 슬기로운 복수생활 38화")</f>
        <v>회귀자의 슬기로운 복수생활 38화</v>
      </c>
      <c r="D352" t="str">
        <f>T("38")</f>
        <v>38</v>
      </c>
      <c r="E352" t="str">
        <f t="shared" si="75"/>
        <v>구공</v>
      </c>
      <c r="H352" t="str">
        <f t="shared" si="76"/>
        <v>스토리위즈</v>
      </c>
      <c r="I352" t="str">
        <f t="shared" si="77"/>
        <v>회귀자의 슬기로운 복수생활</v>
      </c>
      <c r="J352">
        <v>100</v>
      </c>
      <c r="K352">
        <v>4700</v>
      </c>
      <c r="L352">
        <v>47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4700</v>
      </c>
      <c r="AH352">
        <v>47</v>
      </c>
      <c r="AI352">
        <v>0</v>
      </c>
      <c r="AJ352">
        <v>0</v>
      </c>
      <c r="AK352">
        <v>4700</v>
      </c>
      <c r="AL352">
        <v>0</v>
      </c>
      <c r="AM352">
        <v>0</v>
      </c>
      <c r="AN352">
        <v>0</v>
      </c>
      <c r="AO352">
        <v>0</v>
      </c>
      <c r="AP352">
        <v>3290</v>
      </c>
      <c r="AT352" t="str">
        <f t="shared" si="78"/>
        <v>9791137601710</v>
      </c>
      <c r="AV352" t="str">
        <f t="shared" si="79"/>
        <v>판타지 웹소설 &gt; 퓨전 판타지</v>
      </c>
    </row>
    <row r="353" spans="1:49" x14ac:dyDescent="0.4">
      <c r="A353">
        <v>2313017657</v>
      </c>
      <c r="B353">
        <v>2313017695</v>
      </c>
      <c r="C353" t="str">
        <f>T("회귀자의 슬기로운 복수생활 39화")</f>
        <v>회귀자의 슬기로운 복수생활 39화</v>
      </c>
      <c r="D353" t="str">
        <f>T("39")</f>
        <v>39</v>
      </c>
      <c r="E353" t="str">
        <f t="shared" si="75"/>
        <v>구공</v>
      </c>
      <c r="H353" t="str">
        <f t="shared" si="76"/>
        <v>스토리위즈</v>
      </c>
      <c r="I353" t="str">
        <f t="shared" si="77"/>
        <v>회귀자의 슬기로운 복수생활</v>
      </c>
      <c r="J353">
        <v>100</v>
      </c>
      <c r="K353">
        <v>4600</v>
      </c>
      <c r="L353">
        <v>46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4600</v>
      </c>
      <c r="AH353">
        <v>46</v>
      </c>
      <c r="AI353">
        <v>0</v>
      </c>
      <c r="AJ353">
        <v>0</v>
      </c>
      <c r="AK353">
        <v>4600</v>
      </c>
      <c r="AL353">
        <v>0</v>
      </c>
      <c r="AM353">
        <v>0</v>
      </c>
      <c r="AN353">
        <v>0</v>
      </c>
      <c r="AO353">
        <v>0</v>
      </c>
      <c r="AP353">
        <v>3220</v>
      </c>
      <c r="AT353" t="str">
        <f t="shared" si="78"/>
        <v>9791137601710</v>
      </c>
      <c r="AV353" t="str">
        <f t="shared" si="79"/>
        <v>판타지 웹소설 &gt; 퓨전 판타지</v>
      </c>
    </row>
    <row r="354" spans="1:49" x14ac:dyDescent="0.4">
      <c r="A354">
        <v>2313017657</v>
      </c>
      <c r="B354">
        <v>2313017696</v>
      </c>
      <c r="C354" t="str">
        <f>T("회귀자의 슬기로운 복수생활 40화")</f>
        <v>회귀자의 슬기로운 복수생활 40화</v>
      </c>
      <c r="D354" t="str">
        <f>T("40")</f>
        <v>40</v>
      </c>
      <c r="E354" t="str">
        <f t="shared" si="75"/>
        <v>구공</v>
      </c>
      <c r="H354" t="str">
        <f t="shared" si="76"/>
        <v>스토리위즈</v>
      </c>
      <c r="I354" t="str">
        <f t="shared" si="77"/>
        <v>회귀자의 슬기로운 복수생활</v>
      </c>
      <c r="J354">
        <v>100</v>
      </c>
      <c r="K354">
        <v>4600</v>
      </c>
      <c r="L354">
        <v>46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4600</v>
      </c>
      <c r="AH354">
        <v>46</v>
      </c>
      <c r="AI354">
        <v>0</v>
      </c>
      <c r="AJ354">
        <v>0</v>
      </c>
      <c r="AK354">
        <v>4600</v>
      </c>
      <c r="AL354">
        <v>0</v>
      </c>
      <c r="AM354">
        <v>0</v>
      </c>
      <c r="AN354">
        <v>0</v>
      </c>
      <c r="AO354">
        <v>0</v>
      </c>
      <c r="AP354">
        <v>3220</v>
      </c>
      <c r="AT354" t="str">
        <f t="shared" si="78"/>
        <v>9791137601710</v>
      </c>
      <c r="AV354" t="str">
        <f t="shared" si="79"/>
        <v>판타지 웹소설 &gt; 퓨전 판타지</v>
      </c>
    </row>
    <row r="355" spans="1:49" x14ac:dyDescent="0.4">
      <c r="A355">
        <v>2313011929</v>
      </c>
      <c r="B355">
        <v>2313011930</v>
      </c>
      <c r="C355" t="str">
        <f>T("[e북]와그작 2권 (완결)")</f>
        <v>[e북]와그작 2권 (완결)</v>
      </c>
      <c r="D355" t="str">
        <f>T("2")</f>
        <v>2</v>
      </c>
      <c r="E355" t="str">
        <f>T("세상")</f>
        <v>세상</v>
      </c>
      <c r="H355" t="str">
        <f t="shared" si="76"/>
        <v>스토리위즈</v>
      </c>
      <c r="I355" t="str">
        <f>T("[e북]와그작")</f>
        <v>[e북]와그작</v>
      </c>
      <c r="J355">
        <v>4500</v>
      </c>
      <c r="K355">
        <v>4500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4500</v>
      </c>
      <c r="AH355">
        <v>1</v>
      </c>
      <c r="AI355">
        <v>0</v>
      </c>
      <c r="AJ355">
        <v>0</v>
      </c>
      <c r="AK355">
        <v>4500</v>
      </c>
      <c r="AL355">
        <v>0</v>
      </c>
      <c r="AM355">
        <v>0</v>
      </c>
      <c r="AN355">
        <v>0</v>
      </c>
      <c r="AO355">
        <v>0</v>
      </c>
      <c r="AP355">
        <v>3150</v>
      </c>
      <c r="AT355" t="str">
        <f>T("9791137600843")</f>
        <v>9791137600843</v>
      </c>
      <c r="AV355" t="str">
        <f>T("BL 소설 e북 &gt; 현대물")</f>
        <v>BL 소설 e북 &gt; 현대물</v>
      </c>
    </row>
    <row r="356" spans="1:49" x14ac:dyDescent="0.4">
      <c r="A356">
        <v>2313017657</v>
      </c>
      <c r="B356">
        <v>2313017697</v>
      </c>
      <c r="C356" t="str">
        <f>T("회귀자의 슬기로운 복수생활 41화")</f>
        <v>회귀자의 슬기로운 복수생활 41화</v>
      </c>
      <c r="D356" t="str">
        <f>T("41")</f>
        <v>41</v>
      </c>
      <c r="E356" t="str">
        <f>T("구공")</f>
        <v>구공</v>
      </c>
      <c r="H356" t="str">
        <f t="shared" si="76"/>
        <v>스토리위즈</v>
      </c>
      <c r="I356" t="str">
        <f>T("회귀자의 슬기로운 복수생활")</f>
        <v>회귀자의 슬기로운 복수생활</v>
      </c>
      <c r="J356">
        <v>100</v>
      </c>
      <c r="K356">
        <v>4500</v>
      </c>
      <c r="L356">
        <v>45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4500</v>
      </c>
      <c r="AH356">
        <v>45</v>
      </c>
      <c r="AI356">
        <v>0</v>
      </c>
      <c r="AJ356">
        <v>0</v>
      </c>
      <c r="AK356">
        <v>4500</v>
      </c>
      <c r="AL356">
        <v>0</v>
      </c>
      <c r="AM356">
        <v>0</v>
      </c>
      <c r="AN356">
        <v>0</v>
      </c>
      <c r="AO356">
        <v>0</v>
      </c>
      <c r="AP356">
        <v>3150</v>
      </c>
      <c r="AT356" t="str">
        <f>T("9791137601710")</f>
        <v>9791137601710</v>
      </c>
      <c r="AV356" t="str">
        <f>T("판타지 웹소설 &gt; 퓨전 판타지")</f>
        <v>판타지 웹소설 &gt; 퓨전 판타지</v>
      </c>
    </row>
    <row r="357" spans="1:49" x14ac:dyDescent="0.4">
      <c r="A357">
        <v>2313017156</v>
      </c>
      <c r="B357">
        <v>2313017156</v>
      </c>
      <c r="C357" t="str">
        <f>T("[e북]그 알파 내 오메가 만들기")</f>
        <v>[e북]그 알파 내 오메가 만들기</v>
      </c>
      <c r="D357" t="str">
        <f>T("1")</f>
        <v>1</v>
      </c>
      <c r="E357" t="str">
        <f>T("주이서")</f>
        <v>주이서</v>
      </c>
      <c r="H357" t="str">
        <f>T("도서출판 태랑")</f>
        <v>도서출판 태랑</v>
      </c>
      <c r="I357" t="str">
        <f>T("[e북]그 알파 내 오메가 만들기")</f>
        <v>[e북]그 알파 내 오메가 만들기</v>
      </c>
      <c r="J357">
        <v>4400</v>
      </c>
      <c r="K357">
        <v>4400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4400</v>
      </c>
      <c r="AH357">
        <v>1</v>
      </c>
      <c r="AI357">
        <v>0</v>
      </c>
      <c r="AJ357">
        <v>0</v>
      </c>
      <c r="AK357">
        <v>4400</v>
      </c>
      <c r="AL357">
        <v>0</v>
      </c>
      <c r="AM357">
        <v>0</v>
      </c>
      <c r="AN357">
        <v>0</v>
      </c>
      <c r="AO357">
        <v>0</v>
      </c>
      <c r="AP357">
        <v>3080</v>
      </c>
      <c r="AT357" t="str">
        <f>T("9791189084233")</f>
        <v>9791189084233</v>
      </c>
      <c r="AV357" t="str">
        <f>T("BL 소설 e북 &gt; 현대물")</f>
        <v>BL 소설 e북 &gt; 현대물</v>
      </c>
    </row>
    <row r="358" spans="1:49" x14ac:dyDescent="0.4">
      <c r="A358">
        <v>2313017657</v>
      </c>
      <c r="B358">
        <v>2313017701</v>
      </c>
      <c r="C358" t="str">
        <f>T("회귀자의 슬기로운 복수생활 45화")</f>
        <v>회귀자의 슬기로운 복수생활 45화</v>
      </c>
      <c r="D358" t="str">
        <f>T("45")</f>
        <v>45</v>
      </c>
      <c r="E358" t="str">
        <f>T("구공")</f>
        <v>구공</v>
      </c>
      <c r="H358" t="str">
        <f>T("스토리위즈")</f>
        <v>스토리위즈</v>
      </c>
      <c r="I358" t="str">
        <f>T("회귀자의 슬기로운 복수생활")</f>
        <v>회귀자의 슬기로운 복수생활</v>
      </c>
      <c r="J358">
        <v>100</v>
      </c>
      <c r="K358">
        <v>4400</v>
      </c>
      <c r="L358">
        <v>44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4400</v>
      </c>
      <c r="AH358">
        <v>44</v>
      </c>
      <c r="AI358">
        <v>0</v>
      </c>
      <c r="AJ358">
        <v>0</v>
      </c>
      <c r="AK358">
        <v>4400</v>
      </c>
      <c r="AL358">
        <v>0</v>
      </c>
      <c r="AM358">
        <v>0</v>
      </c>
      <c r="AN358">
        <v>0</v>
      </c>
      <c r="AO358">
        <v>0</v>
      </c>
      <c r="AP358">
        <v>3080</v>
      </c>
      <c r="AT358" t="str">
        <f>T("9791137601710")</f>
        <v>9791137601710</v>
      </c>
      <c r="AV358" t="str">
        <f>T("판타지 웹소설 &gt; 퓨전 판타지")</f>
        <v>판타지 웹소설 &gt; 퓨전 판타지</v>
      </c>
    </row>
    <row r="359" spans="1:49" x14ac:dyDescent="0.4">
      <c r="A359">
        <v>2313017657</v>
      </c>
      <c r="B359">
        <v>2313017698</v>
      </c>
      <c r="C359" t="str">
        <f>T("회귀자의 슬기로운 복수생활 42화")</f>
        <v>회귀자의 슬기로운 복수생활 42화</v>
      </c>
      <c r="D359" t="str">
        <f>T("42")</f>
        <v>42</v>
      </c>
      <c r="E359" t="str">
        <f>T("구공")</f>
        <v>구공</v>
      </c>
      <c r="H359" t="str">
        <f>T("스토리위즈")</f>
        <v>스토리위즈</v>
      </c>
      <c r="I359" t="str">
        <f>T("회귀자의 슬기로운 복수생활")</f>
        <v>회귀자의 슬기로운 복수생활</v>
      </c>
      <c r="J359">
        <v>100</v>
      </c>
      <c r="K359">
        <v>4300</v>
      </c>
      <c r="L359">
        <v>43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4300</v>
      </c>
      <c r="AH359">
        <v>43</v>
      </c>
      <c r="AI359">
        <v>0</v>
      </c>
      <c r="AJ359">
        <v>0</v>
      </c>
      <c r="AK359">
        <v>4300</v>
      </c>
      <c r="AL359">
        <v>0</v>
      </c>
      <c r="AM359">
        <v>0</v>
      </c>
      <c r="AN359">
        <v>0</v>
      </c>
      <c r="AO359">
        <v>0</v>
      </c>
      <c r="AP359">
        <v>3010</v>
      </c>
      <c r="AT359" t="str">
        <f>T("9791137601710")</f>
        <v>9791137601710</v>
      </c>
      <c r="AV359" t="str">
        <f>T("판타지 웹소설 &gt; 퓨전 판타지")</f>
        <v>판타지 웹소설 &gt; 퓨전 판타지</v>
      </c>
    </row>
    <row r="360" spans="1:49" x14ac:dyDescent="0.4">
      <c r="A360">
        <v>2313017657</v>
      </c>
      <c r="B360">
        <v>2313017699</v>
      </c>
      <c r="C360" t="str">
        <f>T("회귀자의 슬기로운 복수생활 43화")</f>
        <v>회귀자의 슬기로운 복수생활 43화</v>
      </c>
      <c r="D360" t="str">
        <f>T("43")</f>
        <v>43</v>
      </c>
      <c r="E360" t="str">
        <f>T("구공")</f>
        <v>구공</v>
      </c>
      <c r="H360" t="str">
        <f>T("스토리위즈")</f>
        <v>스토리위즈</v>
      </c>
      <c r="I360" t="str">
        <f>T("회귀자의 슬기로운 복수생활")</f>
        <v>회귀자의 슬기로운 복수생활</v>
      </c>
      <c r="J360">
        <v>100</v>
      </c>
      <c r="K360">
        <v>4300</v>
      </c>
      <c r="L360">
        <v>43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4300</v>
      </c>
      <c r="AH360">
        <v>43</v>
      </c>
      <c r="AI360">
        <v>0</v>
      </c>
      <c r="AJ360">
        <v>0</v>
      </c>
      <c r="AK360">
        <v>4300</v>
      </c>
      <c r="AL360">
        <v>0</v>
      </c>
      <c r="AM360">
        <v>0</v>
      </c>
      <c r="AN360">
        <v>0</v>
      </c>
      <c r="AO360">
        <v>0</v>
      </c>
      <c r="AP360">
        <v>3010</v>
      </c>
      <c r="AT360" t="str">
        <f>T("9791137601710")</f>
        <v>9791137601710</v>
      </c>
      <c r="AV360" t="str">
        <f>T("판타지 웹소설 &gt; 퓨전 판타지")</f>
        <v>판타지 웹소설 &gt; 퓨전 판타지</v>
      </c>
    </row>
    <row r="361" spans="1:49" x14ac:dyDescent="0.4">
      <c r="A361">
        <v>2313016857</v>
      </c>
      <c r="B361">
        <v>2313016842</v>
      </c>
      <c r="C361" t="str">
        <f>T("[e북]소투스 SOTUS (특별 외전)")</f>
        <v>[e북]소투스 SOTUS (특별 외전)</v>
      </c>
      <c r="D361" t="str">
        <f>T("4")</f>
        <v>4</v>
      </c>
      <c r="E361" t="str">
        <f>T("BitterSweet")</f>
        <v>BitterSweet</v>
      </c>
      <c r="H361" t="str">
        <f>T("도서출판 태랑")</f>
        <v>도서출판 태랑</v>
      </c>
      <c r="I361" t="str">
        <f>T("[e북]소투스 (SOTUS)")</f>
        <v>[e북]소투스 (SOTUS)</v>
      </c>
      <c r="J361">
        <v>300</v>
      </c>
      <c r="K361">
        <v>4200</v>
      </c>
      <c r="L361">
        <v>14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4200</v>
      </c>
      <c r="AH361">
        <v>14</v>
      </c>
      <c r="AI361">
        <v>0</v>
      </c>
      <c r="AJ361">
        <v>0</v>
      </c>
      <c r="AK361">
        <v>4200</v>
      </c>
      <c r="AL361">
        <v>0</v>
      </c>
      <c r="AM361">
        <v>0</v>
      </c>
      <c r="AN361">
        <v>0</v>
      </c>
      <c r="AO361">
        <v>0</v>
      </c>
      <c r="AP361">
        <v>2940</v>
      </c>
      <c r="AT361" t="str">
        <f>T("9791164374731")</f>
        <v>9791164374731</v>
      </c>
      <c r="AV361" t="str">
        <f>T("BL 소설 e북 &gt; 해외 소설")</f>
        <v>BL 소설 e북 &gt; 해외 소설</v>
      </c>
    </row>
    <row r="362" spans="1:49" x14ac:dyDescent="0.4">
      <c r="A362">
        <v>2313017657</v>
      </c>
      <c r="B362">
        <v>2313017700</v>
      </c>
      <c r="C362" t="str">
        <f>T("회귀자의 슬기로운 복수생활 44화")</f>
        <v>회귀자의 슬기로운 복수생활 44화</v>
      </c>
      <c r="D362" t="str">
        <f>T("44")</f>
        <v>44</v>
      </c>
      <c r="E362" t="str">
        <f>T("구공")</f>
        <v>구공</v>
      </c>
      <c r="H362" t="str">
        <f>T("스토리위즈")</f>
        <v>스토리위즈</v>
      </c>
      <c r="I362" t="str">
        <f>T("회귀자의 슬기로운 복수생활")</f>
        <v>회귀자의 슬기로운 복수생활</v>
      </c>
      <c r="J362">
        <v>100</v>
      </c>
      <c r="K362">
        <v>4200</v>
      </c>
      <c r="L362">
        <v>42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4200</v>
      </c>
      <c r="AH362">
        <v>42</v>
      </c>
      <c r="AI362">
        <v>0</v>
      </c>
      <c r="AJ362">
        <v>0</v>
      </c>
      <c r="AK362">
        <v>4200</v>
      </c>
      <c r="AL362">
        <v>0</v>
      </c>
      <c r="AM362">
        <v>0</v>
      </c>
      <c r="AN362">
        <v>0</v>
      </c>
      <c r="AO362">
        <v>0</v>
      </c>
      <c r="AP362">
        <v>2940</v>
      </c>
      <c r="AT362" t="str">
        <f>T("9791137601710")</f>
        <v>9791137601710</v>
      </c>
      <c r="AV362" t="str">
        <f>T("판타지 웹소설 &gt; 퓨전 판타지")</f>
        <v>판타지 웹소설 &gt; 퓨전 판타지</v>
      </c>
    </row>
    <row r="363" spans="1:49" x14ac:dyDescent="0.4">
      <c r="A363">
        <v>2313017079</v>
      </c>
      <c r="B363">
        <v>2313017079</v>
      </c>
      <c r="C363" t="str">
        <f>T("[e북]중독")</f>
        <v>[e북]중독</v>
      </c>
      <c r="D363" t="str">
        <f>T("1")</f>
        <v>1</v>
      </c>
      <c r="E363" t="str">
        <f>T("문스톤")</f>
        <v>문스톤</v>
      </c>
      <c r="H363" t="str">
        <f>T("도서출판 태랑")</f>
        <v>도서출판 태랑</v>
      </c>
      <c r="I363" t="str">
        <f>T("[e북]중독")</f>
        <v>[e북]중독</v>
      </c>
      <c r="J363">
        <v>4000</v>
      </c>
      <c r="K363">
        <v>4000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4000</v>
      </c>
      <c r="AH363">
        <v>1</v>
      </c>
      <c r="AI363">
        <v>0</v>
      </c>
      <c r="AJ363">
        <v>0</v>
      </c>
      <c r="AK363">
        <v>4000</v>
      </c>
      <c r="AL363">
        <v>0</v>
      </c>
      <c r="AM363">
        <v>0</v>
      </c>
      <c r="AN363">
        <v>0</v>
      </c>
      <c r="AO363">
        <v>0</v>
      </c>
      <c r="AP363">
        <v>2800</v>
      </c>
      <c r="AT363" t="str">
        <f>T("9791164370580")</f>
        <v>9791164370580</v>
      </c>
      <c r="AV363" t="str">
        <f>T("로맨스 e북 &gt; 현대물")</f>
        <v>로맨스 e북 &gt; 현대물</v>
      </c>
      <c r="AW363" t="str">
        <f>T("로맨스 e북 &gt; 19+")</f>
        <v>로맨스 e북 &gt; 19+</v>
      </c>
    </row>
    <row r="364" spans="1:49" x14ac:dyDescent="0.4">
      <c r="A364">
        <v>2313017657</v>
      </c>
      <c r="B364">
        <v>2313017708</v>
      </c>
      <c r="C364" t="str">
        <f>T("회귀자의 슬기로운 복수생활 52화")</f>
        <v>회귀자의 슬기로운 복수생활 52화</v>
      </c>
      <c r="D364" t="str">
        <f>T("52")</f>
        <v>52</v>
      </c>
      <c r="E364" t="str">
        <f>T("구공")</f>
        <v>구공</v>
      </c>
      <c r="H364" t="str">
        <f>T("스토리위즈")</f>
        <v>스토리위즈</v>
      </c>
      <c r="I364" t="str">
        <f>T("회귀자의 슬기로운 복수생활")</f>
        <v>회귀자의 슬기로운 복수생활</v>
      </c>
      <c r="J364">
        <v>100</v>
      </c>
      <c r="K364">
        <v>3900</v>
      </c>
      <c r="L364">
        <v>39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3900</v>
      </c>
      <c r="AH364">
        <v>39</v>
      </c>
      <c r="AI364">
        <v>0</v>
      </c>
      <c r="AJ364">
        <v>0</v>
      </c>
      <c r="AK364">
        <v>3900</v>
      </c>
      <c r="AL364">
        <v>0</v>
      </c>
      <c r="AM364">
        <v>0</v>
      </c>
      <c r="AN364">
        <v>0</v>
      </c>
      <c r="AO364">
        <v>0</v>
      </c>
      <c r="AP364">
        <v>2730</v>
      </c>
      <c r="AT364" t="str">
        <f>T("9791137601710")</f>
        <v>9791137601710</v>
      </c>
      <c r="AV364" t="str">
        <f>T("판타지 웹소설 &gt; 퓨전 판타지")</f>
        <v>판타지 웹소설 &gt; 퓨전 판타지</v>
      </c>
    </row>
    <row r="365" spans="1:49" x14ac:dyDescent="0.4">
      <c r="A365">
        <v>2313016837</v>
      </c>
      <c r="B365">
        <v>2313016836</v>
      </c>
      <c r="C365" t="str">
        <f>T("[e북]매혹적인 상사 (외전증보판) 2권 (완결)")</f>
        <v>[e북]매혹적인 상사 (외전증보판) 2권 (완결)</v>
      </c>
      <c r="D365" t="str">
        <f>T("2")</f>
        <v>2</v>
      </c>
      <c r="E365" t="str">
        <f>T("스내치")</f>
        <v>스내치</v>
      </c>
      <c r="H365" t="str">
        <f>T("도서출판 태랑")</f>
        <v>도서출판 태랑</v>
      </c>
      <c r="I365" t="str">
        <f>T("[e북]매혹적인 상사 (외전증보판)")</f>
        <v>[e북]매혹적인 상사 (외전증보판)</v>
      </c>
      <c r="J365">
        <v>3800</v>
      </c>
      <c r="K365">
        <v>3800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3800</v>
      </c>
      <c r="AH365">
        <v>1</v>
      </c>
      <c r="AI365">
        <v>0</v>
      </c>
      <c r="AJ365">
        <v>0</v>
      </c>
      <c r="AK365">
        <v>3800</v>
      </c>
      <c r="AL365">
        <v>0</v>
      </c>
      <c r="AM365">
        <v>0</v>
      </c>
      <c r="AN365">
        <v>0</v>
      </c>
      <c r="AO365">
        <v>0</v>
      </c>
      <c r="AP365">
        <v>2660</v>
      </c>
      <c r="AT365" t="str">
        <f>T("9791164374854")</f>
        <v>9791164374854</v>
      </c>
      <c r="AV365" t="str">
        <f>T("로맨스 e북 &gt; 현대물")</f>
        <v>로맨스 e북 &gt; 현대물</v>
      </c>
      <c r="AW365" t="str">
        <f>T("로맨스 e북 &gt; 19+")</f>
        <v>로맨스 e북 &gt; 19+</v>
      </c>
    </row>
    <row r="366" spans="1:49" x14ac:dyDescent="0.4">
      <c r="A366">
        <v>2313016837</v>
      </c>
      <c r="B366">
        <v>2313016837</v>
      </c>
      <c r="C366" t="str">
        <f>T("[e북]매혹적인 상사 (외전증보판) 1권")</f>
        <v>[e북]매혹적인 상사 (외전증보판) 1권</v>
      </c>
      <c r="D366" t="str">
        <f>T("1")</f>
        <v>1</v>
      </c>
      <c r="E366" t="str">
        <f>T("스내치")</f>
        <v>스내치</v>
      </c>
      <c r="H366" t="str">
        <f>T("도서출판 태랑")</f>
        <v>도서출판 태랑</v>
      </c>
      <c r="I366" t="str">
        <f>T("[e북]매혹적인 상사 (외전증보판)")</f>
        <v>[e북]매혹적인 상사 (외전증보판)</v>
      </c>
      <c r="J366">
        <v>3800</v>
      </c>
      <c r="K366">
        <v>3800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3800</v>
      </c>
      <c r="AH366">
        <v>1</v>
      </c>
      <c r="AI366">
        <v>0</v>
      </c>
      <c r="AJ366">
        <v>0</v>
      </c>
      <c r="AK366">
        <v>3800</v>
      </c>
      <c r="AL366">
        <v>0</v>
      </c>
      <c r="AM366">
        <v>0</v>
      </c>
      <c r="AN366">
        <v>0</v>
      </c>
      <c r="AO366">
        <v>0</v>
      </c>
      <c r="AP366">
        <v>2660</v>
      </c>
      <c r="AT366" t="str">
        <f>T("9791164374847")</f>
        <v>9791164374847</v>
      </c>
      <c r="AV366" t="str">
        <f>T("로맨스 e북 &gt; 현대물")</f>
        <v>로맨스 e북 &gt; 현대물</v>
      </c>
      <c r="AW366" t="str">
        <f>T("로맨스 e북 &gt; 19+")</f>
        <v>로맨스 e북 &gt; 19+</v>
      </c>
    </row>
    <row r="367" spans="1:49" x14ac:dyDescent="0.4">
      <c r="A367">
        <v>2313017657</v>
      </c>
      <c r="B367">
        <v>2313017702</v>
      </c>
      <c r="C367" t="str">
        <f>T("회귀자의 슬기로운 복수생활 46화")</f>
        <v>회귀자의 슬기로운 복수생활 46화</v>
      </c>
      <c r="D367" t="str">
        <f>T("46")</f>
        <v>46</v>
      </c>
      <c r="E367" t="str">
        <f>T("구공")</f>
        <v>구공</v>
      </c>
      <c r="H367" t="str">
        <f>T("스토리위즈")</f>
        <v>스토리위즈</v>
      </c>
      <c r="I367" t="str">
        <f>T("회귀자의 슬기로운 복수생활")</f>
        <v>회귀자의 슬기로운 복수생활</v>
      </c>
      <c r="J367">
        <v>100</v>
      </c>
      <c r="K367">
        <v>3700</v>
      </c>
      <c r="L367">
        <v>37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3700</v>
      </c>
      <c r="AH367">
        <v>37</v>
      </c>
      <c r="AI367">
        <v>0</v>
      </c>
      <c r="AJ367">
        <v>0</v>
      </c>
      <c r="AK367">
        <v>3700</v>
      </c>
      <c r="AL367">
        <v>0</v>
      </c>
      <c r="AM367">
        <v>0</v>
      </c>
      <c r="AN367">
        <v>0</v>
      </c>
      <c r="AO367">
        <v>0</v>
      </c>
      <c r="AP367">
        <v>2590</v>
      </c>
      <c r="AT367" t="str">
        <f>T("9791137601710")</f>
        <v>9791137601710</v>
      </c>
      <c r="AV367" t="str">
        <f>T("판타지 웹소설 &gt; 퓨전 판타지")</f>
        <v>판타지 웹소설 &gt; 퓨전 판타지</v>
      </c>
    </row>
    <row r="368" spans="1:49" x14ac:dyDescent="0.4">
      <c r="A368">
        <v>2313017657</v>
      </c>
      <c r="B368">
        <v>2313017707</v>
      </c>
      <c r="C368" t="str">
        <f>T("회귀자의 슬기로운 복수생활 51화")</f>
        <v>회귀자의 슬기로운 복수생활 51화</v>
      </c>
      <c r="D368" t="str">
        <f>T("51")</f>
        <v>51</v>
      </c>
      <c r="E368" t="str">
        <f>T("구공")</f>
        <v>구공</v>
      </c>
      <c r="H368" t="str">
        <f>T("스토리위즈")</f>
        <v>스토리위즈</v>
      </c>
      <c r="I368" t="str">
        <f>T("회귀자의 슬기로운 복수생활")</f>
        <v>회귀자의 슬기로운 복수생활</v>
      </c>
      <c r="J368">
        <v>100</v>
      </c>
      <c r="K368">
        <v>3700</v>
      </c>
      <c r="L368">
        <v>37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3700</v>
      </c>
      <c r="AH368">
        <v>37</v>
      </c>
      <c r="AI368">
        <v>0</v>
      </c>
      <c r="AJ368">
        <v>0</v>
      </c>
      <c r="AK368">
        <v>3700</v>
      </c>
      <c r="AL368">
        <v>0</v>
      </c>
      <c r="AM368">
        <v>0</v>
      </c>
      <c r="AN368">
        <v>0</v>
      </c>
      <c r="AO368">
        <v>0</v>
      </c>
      <c r="AP368">
        <v>2590</v>
      </c>
      <c r="AT368" t="str">
        <f>T("9791137601710")</f>
        <v>9791137601710</v>
      </c>
      <c r="AV368" t="str">
        <f>T("판타지 웹소설 &gt; 퓨전 판타지")</f>
        <v>판타지 웹소설 &gt; 퓨전 판타지</v>
      </c>
    </row>
    <row r="369" spans="1:49" x14ac:dyDescent="0.4">
      <c r="A369">
        <v>2313016871</v>
      </c>
      <c r="B369">
        <v>2313016871</v>
      </c>
      <c r="C369" t="str">
        <f>T("[e북]푸르디푸른 내 달빛 1권")</f>
        <v>[e북]푸르디푸른 내 달빛 1권</v>
      </c>
      <c r="D369" t="str">
        <f>T("1")</f>
        <v>1</v>
      </c>
      <c r="E369" t="str">
        <f>T("모리미J")</f>
        <v>모리미J</v>
      </c>
      <c r="H369" t="str">
        <f>T("도서출판 태랑")</f>
        <v>도서출판 태랑</v>
      </c>
      <c r="I369" t="str">
        <f>T("[e북]푸르디푸른 내 달빛")</f>
        <v>[e북]푸르디푸른 내 달빛</v>
      </c>
      <c r="J369">
        <v>3600</v>
      </c>
      <c r="K369">
        <v>3600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3600</v>
      </c>
      <c r="AH369">
        <v>1</v>
      </c>
      <c r="AI369">
        <v>0</v>
      </c>
      <c r="AJ369">
        <v>0</v>
      </c>
      <c r="AK369">
        <v>3600</v>
      </c>
      <c r="AL369">
        <v>0</v>
      </c>
      <c r="AM369">
        <v>0</v>
      </c>
      <c r="AN369">
        <v>0</v>
      </c>
      <c r="AO369">
        <v>0</v>
      </c>
      <c r="AP369">
        <v>2520</v>
      </c>
      <c r="AT369" t="str">
        <f>T("9791164374243")</f>
        <v>9791164374243</v>
      </c>
      <c r="AV369" t="str">
        <f>T("로맨스 e북 &gt; 역사/시대물")</f>
        <v>로맨스 e북 &gt; 역사/시대물</v>
      </c>
    </row>
    <row r="370" spans="1:49" x14ac:dyDescent="0.4">
      <c r="A370">
        <v>2313017063</v>
      </c>
      <c r="B370">
        <v>2313017063</v>
      </c>
      <c r="C370" t="str">
        <f>T("[e북]충동적인 결혼")</f>
        <v>[e북]충동적인 결혼</v>
      </c>
      <c r="D370" t="str">
        <f>T("1")</f>
        <v>1</v>
      </c>
      <c r="E370" t="str">
        <f>T("차홍주")</f>
        <v>차홍주</v>
      </c>
      <c r="H370" t="str">
        <f>T("도서출판 태랑")</f>
        <v>도서출판 태랑</v>
      </c>
      <c r="I370" t="str">
        <f>T("[e북]충동적인 결혼")</f>
        <v>[e북]충동적인 결혼</v>
      </c>
      <c r="J370">
        <v>3600</v>
      </c>
      <c r="K370">
        <v>3600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3600</v>
      </c>
      <c r="AH370">
        <v>1</v>
      </c>
      <c r="AI370">
        <v>0</v>
      </c>
      <c r="AJ370">
        <v>0</v>
      </c>
      <c r="AK370">
        <v>3600</v>
      </c>
      <c r="AL370">
        <v>0</v>
      </c>
      <c r="AM370">
        <v>0</v>
      </c>
      <c r="AN370">
        <v>0</v>
      </c>
      <c r="AO370">
        <v>0</v>
      </c>
      <c r="AP370">
        <v>2520</v>
      </c>
      <c r="AT370" t="str">
        <f>T("9791164370917")</f>
        <v>9791164370917</v>
      </c>
      <c r="AV370" t="str">
        <f>T("로맨스 e북 &gt; 현대물")</f>
        <v>로맨스 e북 &gt; 현대물</v>
      </c>
      <c r="AW370" t="str">
        <f>T("로맨스 e북 &gt; 19+")</f>
        <v>로맨스 e북 &gt; 19+</v>
      </c>
    </row>
    <row r="371" spans="1:49" x14ac:dyDescent="0.4">
      <c r="A371">
        <v>2313017150</v>
      </c>
      <c r="B371">
        <v>2313017133</v>
      </c>
      <c r="C371" t="str">
        <f>T("[e북]짝사랑 이별곡 (외전)")</f>
        <v>[e북]짝사랑 이별곡 (외전)</v>
      </c>
      <c r="D371" t="str">
        <f>T("3")</f>
        <v>3</v>
      </c>
      <c r="E371" t="str">
        <f>T("모리미")</f>
        <v>모리미</v>
      </c>
      <c r="H371" t="str">
        <f>T("도서출판 태랑")</f>
        <v>도서출판 태랑</v>
      </c>
      <c r="I371" t="str">
        <f>T("[e북]짝사랑 이별곡")</f>
        <v>[e북]짝사랑 이별곡</v>
      </c>
      <c r="J371">
        <v>600</v>
      </c>
      <c r="K371">
        <v>3600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3600</v>
      </c>
      <c r="AH371">
        <v>6</v>
      </c>
      <c r="AI371">
        <v>0</v>
      </c>
      <c r="AJ371">
        <v>0</v>
      </c>
      <c r="AK371">
        <v>3600</v>
      </c>
      <c r="AL371">
        <v>0</v>
      </c>
      <c r="AM371">
        <v>0</v>
      </c>
      <c r="AN371">
        <v>0</v>
      </c>
      <c r="AO371">
        <v>0</v>
      </c>
      <c r="AP371">
        <v>2520</v>
      </c>
      <c r="AT371" t="str">
        <f>T("9791189084745")</f>
        <v>9791189084745</v>
      </c>
      <c r="AV371" t="str">
        <f>T("BL 소설 e북 &gt; 현대물")</f>
        <v>BL 소설 e북 &gt; 현대물</v>
      </c>
    </row>
    <row r="372" spans="1:49" x14ac:dyDescent="0.4">
      <c r="A372">
        <v>2313017657</v>
      </c>
      <c r="B372">
        <v>2313017703</v>
      </c>
      <c r="C372" t="str">
        <f>T("회귀자의 슬기로운 복수생활 47화")</f>
        <v>회귀자의 슬기로운 복수생활 47화</v>
      </c>
      <c r="D372" t="str">
        <f>T("47")</f>
        <v>47</v>
      </c>
      <c r="E372" t="str">
        <f>T("구공")</f>
        <v>구공</v>
      </c>
      <c r="H372" t="str">
        <f>T("스토리위즈")</f>
        <v>스토리위즈</v>
      </c>
      <c r="I372" t="str">
        <f>T("회귀자의 슬기로운 복수생활")</f>
        <v>회귀자의 슬기로운 복수생활</v>
      </c>
      <c r="J372">
        <v>100</v>
      </c>
      <c r="K372">
        <v>3600</v>
      </c>
      <c r="L372">
        <v>36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3600</v>
      </c>
      <c r="AH372">
        <v>36</v>
      </c>
      <c r="AI372">
        <v>0</v>
      </c>
      <c r="AJ372">
        <v>0</v>
      </c>
      <c r="AK372">
        <v>3600</v>
      </c>
      <c r="AL372">
        <v>0</v>
      </c>
      <c r="AM372">
        <v>0</v>
      </c>
      <c r="AN372">
        <v>0</v>
      </c>
      <c r="AO372">
        <v>0</v>
      </c>
      <c r="AP372">
        <v>2520</v>
      </c>
      <c r="AT372" t="str">
        <f>T("9791137601710")</f>
        <v>9791137601710</v>
      </c>
      <c r="AV372" t="str">
        <f>T("판타지 웹소설 &gt; 퓨전 판타지")</f>
        <v>판타지 웹소설 &gt; 퓨전 판타지</v>
      </c>
    </row>
    <row r="373" spans="1:49" x14ac:dyDescent="0.4">
      <c r="A373">
        <v>2313002105</v>
      </c>
      <c r="B373">
        <v>2313002106</v>
      </c>
      <c r="C373" t="str">
        <f>T("[e북]여왕 아델 2권")</f>
        <v>[e북]여왕 아델 2권</v>
      </c>
      <c r="D373" t="str">
        <f>T("2")</f>
        <v>2</v>
      </c>
      <c r="E373" t="str">
        <f>T("이린비")</f>
        <v>이린비</v>
      </c>
      <c r="H373" t="str">
        <f>T("스토리위즈")</f>
        <v>스토리위즈</v>
      </c>
      <c r="I373" t="str">
        <f>T("[e북]여왕 아델")</f>
        <v>[e북]여왕 아델</v>
      </c>
      <c r="J373">
        <v>3500</v>
      </c>
      <c r="K373">
        <v>3500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3500</v>
      </c>
      <c r="AH373">
        <v>1</v>
      </c>
      <c r="AI373">
        <v>0</v>
      </c>
      <c r="AJ373">
        <v>0</v>
      </c>
      <c r="AK373">
        <v>3500</v>
      </c>
      <c r="AL373">
        <v>0</v>
      </c>
      <c r="AM373">
        <v>0</v>
      </c>
      <c r="AN373">
        <v>0</v>
      </c>
      <c r="AO373">
        <v>0</v>
      </c>
      <c r="AP373">
        <v>2450</v>
      </c>
      <c r="AR373" t="str">
        <f>T("0000000000000")</f>
        <v>0000000000000</v>
      </c>
      <c r="AT373" t="str">
        <f>T("9791159286780")</f>
        <v>9791159286780</v>
      </c>
      <c r="AV373" t="str">
        <f>T("로판 e북 &gt; 서양풍 로판")</f>
        <v>로판 e북 &gt; 서양풍 로판</v>
      </c>
    </row>
    <row r="374" spans="1:49" x14ac:dyDescent="0.4">
      <c r="A374">
        <v>2313002105</v>
      </c>
      <c r="B374">
        <v>2313002107</v>
      </c>
      <c r="C374" t="str">
        <f>T("[e북]여왕 아델 3권")</f>
        <v>[e북]여왕 아델 3권</v>
      </c>
      <c r="D374" t="str">
        <f>T("3")</f>
        <v>3</v>
      </c>
      <c r="E374" t="str">
        <f>T("이린비")</f>
        <v>이린비</v>
      </c>
      <c r="H374" t="str">
        <f>T("스토리위즈")</f>
        <v>스토리위즈</v>
      </c>
      <c r="I374" t="str">
        <f>T("[e북]여왕 아델")</f>
        <v>[e북]여왕 아델</v>
      </c>
      <c r="J374">
        <v>3500</v>
      </c>
      <c r="K374">
        <v>3500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3500</v>
      </c>
      <c r="AH374">
        <v>1</v>
      </c>
      <c r="AI374">
        <v>0</v>
      </c>
      <c r="AJ374">
        <v>0</v>
      </c>
      <c r="AK374">
        <v>3500</v>
      </c>
      <c r="AL374">
        <v>0</v>
      </c>
      <c r="AM374">
        <v>0</v>
      </c>
      <c r="AN374">
        <v>0</v>
      </c>
      <c r="AO374">
        <v>0</v>
      </c>
      <c r="AP374">
        <v>2450</v>
      </c>
      <c r="AR374" t="str">
        <f>T("0000000000000")</f>
        <v>0000000000000</v>
      </c>
      <c r="AT374" t="str">
        <f>T("9791159286797")</f>
        <v>9791159286797</v>
      </c>
      <c r="AV374" t="str">
        <f>T("로판 e북 &gt; 서양풍 로판")</f>
        <v>로판 e북 &gt; 서양풍 로판</v>
      </c>
    </row>
    <row r="375" spans="1:49" x14ac:dyDescent="0.4">
      <c r="A375">
        <v>2313002105</v>
      </c>
      <c r="B375">
        <v>2313002108</v>
      </c>
      <c r="C375" t="str">
        <f>T("[e북]여왕 아델 4권 (완결)")</f>
        <v>[e북]여왕 아델 4권 (완결)</v>
      </c>
      <c r="D375" t="str">
        <f>T("4")</f>
        <v>4</v>
      </c>
      <c r="E375" t="str">
        <f>T("이린비")</f>
        <v>이린비</v>
      </c>
      <c r="H375" t="str">
        <f>T("스토리위즈")</f>
        <v>스토리위즈</v>
      </c>
      <c r="I375" t="str">
        <f>T("[e북]여왕 아델")</f>
        <v>[e북]여왕 아델</v>
      </c>
      <c r="J375">
        <v>3500</v>
      </c>
      <c r="K375">
        <v>3500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3500</v>
      </c>
      <c r="AH375">
        <v>1</v>
      </c>
      <c r="AI375">
        <v>0</v>
      </c>
      <c r="AJ375">
        <v>0</v>
      </c>
      <c r="AK375">
        <v>3500</v>
      </c>
      <c r="AL375">
        <v>0</v>
      </c>
      <c r="AM375">
        <v>0</v>
      </c>
      <c r="AN375">
        <v>0</v>
      </c>
      <c r="AO375">
        <v>0</v>
      </c>
      <c r="AP375">
        <v>2450</v>
      </c>
      <c r="AR375" t="str">
        <f>T("0000000000000")</f>
        <v>0000000000000</v>
      </c>
      <c r="AT375" t="str">
        <f>T("9791159286803")</f>
        <v>9791159286803</v>
      </c>
      <c r="AV375" t="str">
        <f>T("로판 e북 &gt; 서양풍 로판")</f>
        <v>로판 e북 &gt; 서양풍 로판</v>
      </c>
    </row>
    <row r="376" spans="1:49" x14ac:dyDescent="0.4">
      <c r="A376">
        <v>2313002105</v>
      </c>
      <c r="B376">
        <v>2313002109</v>
      </c>
      <c r="C376" t="str">
        <f>T("[e북]여왕 아델 (외전)")</f>
        <v>[e북]여왕 아델 (외전)</v>
      </c>
      <c r="D376" t="str">
        <f>T("5")</f>
        <v>5</v>
      </c>
      <c r="E376" t="str">
        <f>T("이린비")</f>
        <v>이린비</v>
      </c>
      <c r="H376" t="str">
        <f>T("스토리위즈")</f>
        <v>스토리위즈</v>
      </c>
      <c r="I376" t="str">
        <f>T("[e북]여왕 아델")</f>
        <v>[e북]여왕 아델</v>
      </c>
      <c r="J376">
        <v>3500</v>
      </c>
      <c r="K376">
        <v>3500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3500</v>
      </c>
      <c r="AH376">
        <v>1</v>
      </c>
      <c r="AI376">
        <v>0</v>
      </c>
      <c r="AJ376">
        <v>0</v>
      </c>
      <c r="AK376">
        <v>3500</v>
      </c>
      <c r="AL376">
        <v>0</v>
      </c>
      <c r="AM376">
        <v>0</v>
      </c>
      <c r="AN376">
        <v>0</v>
      </c>
      <c r="AO376">
        <v>0</v>
      </c>
      <c r="AP376">
        <v>2450</v>
      </c>
      <c r="AR376" t="str">
        <f>T("0000000000000")</f>
        <v>0000000000000</v>
      </c>
      <c r="AT376" t="str">
        <f>T("9791159286810")</f>
        <v>9791159286810</v>
      </c>
      <c r="AV376" t="str">
        <f>T("로판 e북 &gt; 서양풍 로판")</f>
        <v>로판 e북 &gt; 서양풍 로판</v>
      </c>
    </row>
    <row r="377" spans="1:49" x14ac:dyDescent="0.4">
      <c r="A377">
        <v>2313016881</v>
      </c>
      <c r="B377">
        <v>2313016881</v>
      </c>
      <c r="C377" t="str">
        <f>T("[e북]내게만 악마 같은 놈 (외전증보 삽화본) 1권")</f>
        <v>[e북]내게만 악마 같은 놈 (외전증보 삽화본) 1권</v>
      </c>
      <c r="D377" t="str">
        <f>T("1")</f>
        <v>1</v>
      </c>
      <c r="E377" t="str">
        <f>T("주이서")</f>
        <v>주이서</v>
      </c>
      <c r="H377" t="str">
        <f t="shared" ref="H377:H382" si="80">T("도서출판 태랑")</f>
        <v>도서출판 태랑</v>
      </c>
      <c r="I377" t="str">
        <f>T("[e북]내게만 악마 같은 놈 (외전증보 삽화본)")</f>
        <v>[e북]내게만 악마 같은 놈 (외전증보 삽화본)</v>
      </c>
      <c r="J377">
        <v>3500</v>
      </c>
      <c r="K377">
        <v>3500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3500</v>
      </c>
      <c r="AH377">
        <v>1</v>
      </c>
      <c r="AI377">
        <v>0</v>
      </c>
      <c r="AJ377">
        <v>0</v>
      </c>
      <c r="AK377">
        <v>3500</v>
      </c>
      <c r="AL377">
        <v>0</v>
      </c>
      <c r="AM377">
        <v>0</v>
      </c>
      <c r="AN377">
        <v>0</v>
      </c>
      <c r="AO377">
        <v>0</v>
      </c>
      <c r="AP377">
        <v>2450</v>
      </c>
      <c r="AT377" t="str">
        <f>T("9791164373833")</f>
        <v>9791164373833</v>
      </c>
      <c r="AV377" t="str">
        <f>T("로맨스 e북 &gt; 현대물")</f>
        <v>로맨스 e북 &gt; 현대물</v>
      </c>
      <c r="AW377" t="str">
        <f>T("로맨스 e북 &gt; 19+")</f>
        <v>로맨스 e북 &gt; 19+</v>
      </c>
    </row>
    <row r="378" spans="1:49" x14ac:dyDescent="0.4">
      <c r="A378">
        <v>2313016946</v>
      </c>
      <c r="B378">
        <v>2313016945</v>
      </c>
      <c r="C378" t="str">
        <f>T("[e북]더 라스트 웨어울프 2권 (완결)")</f>
        <v>[e북]더 라스트 웨어울프 2권 (완결)</v>
      </c>
      <c r="D378" t="str">
        <f>T("2")</f>
        <v>2</v>
      </c>
      <c r="E378" t="str">
        <f>T("블 루 스 카 이")</f>
        <v>블 루 스 카 이</v>
      </c>
      <c r="H378" t="str">
        <f t="shared" si="80"/>
        <v>도서출판 태랑</v>
      </c>
      <c r="I378" t="str">
        <f>T("[e북]더 라스트 웨어울프")</f>
        <v>[e북]더 라스트 웨어울프</v>
      </c>
      <c r="J378">
        <v>3500</v>
      </c>
      <c r="K378">
        <v>3500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3500</v>
      </c>
      <c r="AH378">
        <v>1</v>
      </c>
      <c r="AI378">
        <v>0</v>
      </c>
      <c r="AJ378">
        <v>0</v>
      </c>
      <c r="AK378">
        <v>3500</v>
      </c>
      <c r="AL378">
        <v>0</v>
      </c>
      <c r="AM378">
        <v>0</v>
      </c>
      <c r="AN378">
        <v>0</v>
      </c>
      <c r="AO378">
        <v>0</v>
      </c>
      <c r="AP378">
        <v>2450</v>
      </c>
      <c r="AT378" t="str">
        <f>T("9791164372751")</f>
        <v>9791164372751</v>
      </c>
      <c r="AV378" t="str">
        <f>T("로맨스 e북 &gt; 현대물")</f>
        <v>로맨스 e북 &gt; 현대물</v>
      </c>
    </row>
    <row r="379" spans="1:49" x14ac:dyDescent="0.4">
      <c r="A379">
        <v>2313016946</v>
      </c>
      <c r="B379">
        <v>2313016946</v>
      </c>
      <c r="C379" t="str">
        <f>T("[e북]더 라스트 웨어울프 1권")</f>
        <v>[e북]더 라스트 웨어울프 1권</v>
      </c>
      <c r="D379" t="str">
        <f>T("1")</f>
        <v>1</v>
      </c>
      <c r="E379" t="str">
        <f>T("블 루 스 카 이")</f>
        <v>블 루 스 카 이</v>
      </c>
      <c r="H379" t="str">
        <f t="shared" si="80"/>
        <v>도서출판 태랑</v>
      </c>
      <c r="I379" t="str">
        <f>T("[e북]더 라스트 웨어울프")</f>
        <v>[e북]더 라스트 웨어울프</v>
      </c>
      <c r="J379">
        <v>3500</v>
      </c>
      <c r="K379">
        <v>3500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3500</v>
      </c>
      <c r="AH379">
        <v>1</v>
      </c>
      <c r="AI379">
        <v>0</v>
      </c>
      <c r="AJ379">
        <v>0</v>
      </c>
      <c r="AK379">
        <v>3500</v>
      </c>
      <c r="AL379">
        <v>0</v>
      </c>
      <c r="AM379">
        <v>0</v>
      </c>
      <c r="AN379">
        <v>0</v>
      </c>
      <c r="AO379">
        <v>0</v>
      </c>
      <c r="AP379">
        <v>2450</v>
      </c>
      <c r="AT379" t="str">
        <f>T("9791164372744")</f>
        <v>9791164372744</v>
      </c>
      <c r="AV379" t="str">
        <f>T("로맨스 e북 &gt; 현대물")</f>
        <v>로맨스 e북 &gt; 현대물</v>
      </c>
    </row>
    <row r="380" spans="1:49" x14ac:dyDescent="0.4">
      <c r="A380">
        <v>2313017132</v>
      </c>
      <c r="B380">
        <v>2313017130</v>
      </c>
      <c r="C380" t="str">
        <f>T("[e북]나는 너를, 너는 나를 3권 (완결)")</f>
        <v>[e북]나는 너를, 너는 나를 3권 (완결)</v>
      </c>
      <c r="D380" t="str">
        <f>T("3")</f>
        <v>3</v>
      </c>
      <c r="E380" t="str">
        <f>T("라비니안느")</f>
        <v>라비니안느</v>
      </c>
      <c r="H380" t="str">
        <f t="shared" si="80"/>
        <v>도서출판 태랑</v>
      </c>
      <c r="I380" t="str">
        <f>T("[e북]나는 너를, 너는 나를 (외전증보판)")</f>
        <v>[e북]나는 너를, 너는 나를 (외전증보판)</v>
      </c>
      <c r="J380">
        <v>3500</v>
      </c>
      <c r="K380">
        <v>3500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3500</v>
      </c>
      <c r="AH380">
        <v>1</v>
      </c>
      <c r="AI380">
        <v>0</v>
      </c>
      <c r="AJ380">
        <v>0</v>
      </c>
      <c r="AK380">
        <v>3500</v>
      </c>
      <c r="AL380">
        <v>0</v>
      </c>
      <c r="AM380">
        <v>0</v>
      </c>
      <c r="AN380">
        <v>0</v>
      </c>
      <c r="AO380">
        <v>0</v>
      </c>
      <c r="AP380">
        <v>2450</v>
      </c>
      <c r="AT380" t="str">
        <f>T("9791189084561")</f>
        <v>9791189084561</v>
      </c>
      <c r="AV380" t="str">
        <f>T("BL 소설 e북 &gt; 현대물")</f>
        <v>BL 소설 e북 &gt; 현대물</v>
      </c>
    </row>
    <row r="381" spans="1:49" x14ac:dyDescent="0.4">
      <c r="A381">
        <v>2313017132</v>
      </c>
      <c r="B381">
        <v>2313017131</v>
      </c>
      <c r="C381" t="str">
        <f>T("[e북]나는 너를, 너는 나를 2권")</f>
        <v>[e북]나는 너를, 너는 나를 2권</v>
      </c>
      <c r="D381" t="str">
        <f>T("2")</f>
        <v>2</v>
      </c>
      <c r="E381" t="str">
        <f>T("라비니안느")</f>
        <v>라비니안느</v>
      </c>
      <c r="H381" t="str">
        <f t="shared" si="80"/>
        <v>도서출판 태랑</v>
      </c>
      <c r="I381" t="str">
        <f>T("[e북]나는 너를, 너는 나를 (외전증보판)")</f>
        <v>[e북]나는 너를, 너는 나를 (외전증보판)</v>
      </c>
      <c r="J381">
        <v>3500</v>
      </c>
      <c r="K381">
        <v>3500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3500</v>
      </c>
      <c r="AH381">
        <v>1</v>
      </c>
      <c r="AI381">
        <v>0</v>
      </c>
      <c r="AJ381">
        <v>0</v>
      </c>
      <c r="AK381">
        <v>3500</v>
      </c>
      <c r="AL381">
        <v>0</v>
      </c>
      <c r="AM381">
        <v>0</v>
      </c>
      <c r="AN381">
        <v>0</v>
      </c>
      <c r="AO381">
        <v>0</v>
      </c>
      <c r="AP381">
        <v>2450</v>
      </c>
      <c r="AT381" t="str">
        <f>T("9791189084554")</f>
        <v>9791189084554</v>
      </c>
      <c r="AV381" t="str">
        <f>T("BL 소설 e북 &gt; 현대물")</f>
        <v>BL 소설 e북 &gt; 현대물</v>
      </c>
    </row>
    <row r="382" spans="1:49" x14ac:dyDescent="0.4">
      <c r="A382">
        <v>2313017132</v>
      </c>
      <c r="B382">
        <v>2313017132</v>
      </c>
      <c r="C382" t="str">
        <f>T("[e북]나는 너를, 너는 나를 1권")</f>
        <v>[e북]나는 너를, 너는 나를 1권</v>
      </c>
      <c r="D382" t="str">
        <f>T("1")</f>
        <v>1</v>
      </c>
      <c r="E382" t="str">
        <f>T("라비니안느")</f>
        <v>라비니안느</v>
      </c>
      <c r="H382" t="str">
        <f t="shared" si="80"/>
        <v>도서출판 태랑</v>
      </c>
      <c r="I382" t="str">
        <f>T("[e북]나는 너를, 너는 나를 (외전증보판)")</f>
        <v>[e북]나는 너를, 너는 나를 (외전증보판)</v>
      </c>
      <c r="J382">
        <v>3500</v>
      </c>
      <c r="K382">
        <v>3500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3500</v>
      </c>
      <c r="AH382">
        <v>1</v>
      </c>
      <c r="AI382">
        <v>0</v>
      </c>
      <c r="AJ382">
        <v>0</v>
      </c>
      <c r="AK382">
        <v>3500</v>
      </c>
      <c r="AL382">
        <v>0</v>
      </c>
      <c r="AM382">
        <v>0</v>
      </c>
      <c r="AN382">
        <v>0</v>
      </c>
      <c r="AO382">
        <v>0</v>
      </c>
      <c r="AP382">
        <v>2450</v>
      </c>
      <c r="AT382" t="str">
        <f>T("9791189084547")</f>
        <v>9791189084547</v>
      </c>
      <c r="AV382" t="str">
        <f>T("BL 소설 e북 &gt; 현대물")</f>
        <v>BL 소설 e북 &gt; 현대물</v>
      </c>
    </row>
    <row r="383" spans="1:49" x14ac:dyDescent="0.4">
      <c r="A383">
        <v>2313017163</v>
      </c>
      <c r="B383">
        <v>2313017166</v>
      </c>
      <c r="C383" t="str">
        <f>T("친절하기는 얼어 죽을 3화")</f>
        <v>친절하기는 얼어 죽을 3화</v>
      </c>
      <c r="D383" t="str">
        <f>T("4")</f>
        <v>4</v>
      </c>
      <c r="E383" t="str">
        <f>T("솜목화")</f>
        <v>솜목화</v>
      </c>
      <c r="H383" t="str">
        <f>T("블레슈")</f>
        <v>블레슈</v>
      </c>
      <c r="I383" t="str">
        <f>T("친절하기는 얼어 죽을")</f>
        <v>친절하기는 얼어 죽을</v>
      </c>
      <c r="J383">
        <v>100</v>
      </c>
      <c r="K383">
        <v>3500</v>
      </c>
      <c r="L383">
        <v>35</v>
      </c>
      <c r="M383">
        <v>0</v>
      </c>
      <c r="N383">
        <v>2700</v>
      </c>
      <c r="O383">
        <v>27</v>
      </c>
      <c r="P383">
        <v>1751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6200</v>
      </c>
      <c r="AH383">
        <v>1813</v>
      </c>
      <c r="AI383">
        <v>0</v>
      </c>
      <c r="AJ383">
        <v>0</v>
      </c>
      <c r="AK383">
        <v>6200</v>
      </c>
      <c r="AL383">
        <v>0</v>
      </c>
      <c r="AM383">
        <v>0</v>
      </c>
      <c r="AN383">
        <v>0</v>
      </c>
      <c r="AO383">
        <v>0</v>
      </c>
      <c r="AP383">
        <v>3720</v>
      </c>
      <c r="AR383" t="str">
        <f>T("0000000000000")</f>
        <v>0000000000000</v>
      </c>
      <c r="AT383" t="str">
        <f>T("9791137604131")</f>
        <v>9791137604131</v>
      </c>
      <c r="AV383" t="str">
        <f>T("로맨스 웹소설 &gt; 현대물")</f>
        <v>로맨스 웹소설 &gt; 현대물</v>
      </c>
    </row>
    <row r="384" spans="1:49" x14ac:dyDescent="0.4">
      <c r="A384">
        <v>2313017657</v>
      </c>
      <c r="B384">
        <v>2313017705</v>
      </c>
      <c r="C384" t="str">
        <f>T("회귀자의 슬기로운 복수생활 49화")</f>
        <v>회귀자의 슬기로운 복수생활 49화</v>
      </c>
      <c r="D384" t="str">
        <f>T("49")</f>
        <v>49</v>
      </c>
      <c r="E384" t="str">
        <f>T("구공")</f>
        <v>구공</v>
      </c>
      <c r="H384" t="str">
        <f t="shared" ref="H384:H389" si="81">T("스토리위즈")</f>
        <v>스토리위즈</v>
      </c>
      <c r="I384" t="str">
        <f>T("회귀자의 슬기로운 복수생활")</f>
        <v>회귀자의 슬기로운 복수생활</v>
      </c>
      <c r="J384">
        <v>100</v>
      </c>
      <c r="K384">
        <v>3500</v>
      </c>
      <c r="L384">
        <v>35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3500</v>
      </c>
      <c r="AH384">
        <v>35</v>
      </c>
      <c r="AI384">
        <v>0</v>
      </c>
      <c r="AJ384">
        <v>0</v>
      </c>
      <c r="AK384">
        <v>3500</v>
      </c>
      <c r="AL384">
        <v>0</v>
      </c>
      <c r="AM384">
        <v>0</v>
      </c>
      <c r="AN384">
        <v>0</v>
      </c>
      <c r="AO384">
        <v>0</v>
      </c>
      <c r="AP384">
        <v>2450</v>
      </c>
      <c r="AT384" t="str">
        <f>T("9791137601710")</f>
        <v>9791137601710</v>
      </c>
      <c r="AV384" t="str">
        <f t="shared" ref="AV384:AV389" si="82">T("판타지 웹소설 &gt; 퓨전 판타지")</f>
        <v>판타지 웹소설 &gt; 퓨전 판타지</v>
      </c>
    </row>
    <row r="385" spans="1:48" x14ac:dyDescent="0.4">
      <c r="A385">
        <v>2313007845</v>
      </c>
      <c r="B385">
        <v>2313007886</v>
      </c>
      <c r="C385" t="str">
        <f>T("간신이 나라를 살림 42화")</f>
        <v>간신이 나라를 살림 42화</v>
      </c>
      <c r="D385" t="str">
        <f>T("42")</f>
        <v>42</v>
      </c>
      <c r="E385" t="str">
        <f>T("루이세")</f>
        <v>루이세</v>
      </c>
      <c r="H385" t="str">
        <f t="shared" si="81"/>
        <v>스토리위즈</v>
      </c>
      <c r="I385" t="str">
        <f>T("간신이 나라를 살림")</f>
        <v>간신이 나라를 살림</v>
      </c>
      <c r="J385">
        <v>100</v>
      </c>
      <c r="K385">
        <v>3400</v>
      </c>
      <c r="L385">
        <v>34</v>
      </c>
      <c r="M385">
        <v>0</v>
      </c>
      <c r="N385">
        <v>0</v>
      </c>
      <c r="O385">
        <v>0</v>
      </c>
      <c r="P385">
        <v>203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3400</v>
      </c>
      <c r="AH385">
        <v>237</v>
      </c>
      <c r="AI385">
        <v>0</v>
      </c>
      <c r="AJ385">
        <v>1</v>
      </c>
      <c r="AK385">
        <v>3400</v>
      </c>
      <c r="AL385">
        <v>0</v>
      </c>
      <c r="AM385">
        <v>0</v>
      </c>
      <c r="AN385">
        <v>0</v>
      </c>
      <c r="AO385">
        <v>0</v>
      </c>
      <c r="AP385">
        <v>2380</v>
      </c>
      <c r="AT385" t="str">
        <f>T("9791159284663")</f>
        <v>9791159284663</v>
      </c>
      <c r="AV385" t="str">
        <f t="shared" si="82"/>
        <v>판타지 웹소설 &gt; 퓨전 판타지</v>
      </c>
    </row>
    <row r="386" spans="1:48" x14ac:dyDescent="0.4">
      <c r="A386">
        <v>2313017657</v>
      </c>
      <c r="B386">
        <v>2313017704</v>
      </c>
      <c r="C386" t="str">
        <f>T("회귀자의 슬기로운 복수생활 48화")</f>
        <v>회귀자의 슬기로운 복수생활 48화</v>
      </c>
      <c r="D386" t="str">
        <f>T("48")</f>
        <v>48</v>
      </c>
      <c r="E386" t="str">
        <f>T("구공")</f>
        <v>구공</v>
      </c>
      <c r="H386" t="str">
        <f t="shared" si="81"/>
        <v>스토리위즈</v>
      </c>
      <c r="I386" t="str">
        <f>T("회귀자의 슬기로운 복수생활")</f>
        <v>회귀자의 슬기로운 복수생활</v>
      </c>
      <c r="J386">
        <v>100</v>
      </c>
      <c r="K386">
        <v>3400</v>
      </c>
      <c r="L386">
        <v>34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3400</v>
      </c>
      <c r="AH386">
        <v>34</v>
      </c>
      <c r="AI386">
        <v>0</v>
      </c>
      <c r="AJ386">
        <v>0</v>
      </c>
      <c r="AK386">
        <v>3400</v>
      </c>
      <c r="AL386">
        <v>0</v>
      </c>
      <c r="AM386">
        <v>0</v>
      </c>
      <c r="AN386">
        <v>0</v>
      </c>
      <c r="AO386">
        <v>0</v>
      </c>
      <c r="AP386">
        <v>2380</v>
      </c>
      <c r="AT386" t="str">
        <f>T("9791137601710")</f>
        <v>9791137601710</v>
      </c>
      <c r="AV386" t="str">
        <f t="shared" si="82"/>
        <v>판타지 웹소설 &gt; 퓨전 판타지</v>
      </c>
    </row>
    <row r="387" spans="1:48" x14ac:dyDescent="0.4">
      <c r="A387">
        <v>2313017657</v>
      </c>
      <c r="B387">
        <v>2313017706</v>
      </c>
      <c r="C387" t="str">
        <f>T("회귀자의 슬기로운 복수생활 50화")</f>
        <v>회귀자의 슬기로운 복수생활 50화</v>
      </c>
      <c r="D387" t="str">
        <f>T("50")</f>
        <v>50</v>
      </c>
      <c r="E387" t="str">
        <f>T("구공")</f>
        <v>구공</v>
      </c>
      <c r="H387" t="str">
        <f t="shared" si="81"/>
        <v>스토리위즈</v>
      </c>
      <c r="I387" t="str">
        <f>T("회귀자의 슬기로운 복수생활")</f>
        <v>회귀자의 슬기로운 복수생활</v>
      </c>
      <c r="J387">
        <v>100</v>
      </c>
      <c r="K387">
        <v>3400</v>
      </c>
      <c r="L387">
        <v>34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3400</v>
      </c>
      <c r="AH387">
        <v>34</v>
      </c>
      <c r="AI387">
        <v>0</v>
      </c>
      <c r="AJ387">
        <v>0</v>
      </c>
      <c r="AK387">
        <v>3400</v>
      </c>
      <c r="AL387">
        <v>0</v>
      </c>
      <c r="AM387">
        <v>0</v>
      </c>
      <c r="AN387">
        <v>0</v>
      </c>
      <c r="AO387">
        <v>0</v>
      </c>
      <c r="AP387">
        <v>2380</v>
      </c>
      <c r="AT387" t="str">
        <f>T("9791137601710")</f>
        <v>9791137601710</v>
      </c>
      <c r="AV387" t="str">
        <f t="shared" si="82"/>
        <v>판타지 웹소설 &gt; 퓨전 판타지</v>
      </c>
    </row>
    <row r="388" spans="1:48" x14ac:dyDescent="0.4">
      <c r="A388">
        <v>2313017657</v>
      </c>
      <c r="B388">
        <v>2313017710</v>
      </c>
      <c r="C388" t="str">
        <f>T("회귀자의 슬기로운 복수생활 54화")</f>
        <v>회귀자의 슬기로운 복수생활 54화</v>
      </c>
      <c r="D388" t="str">
        <f>T("54")</f>
        <v>54</v>
      </c>
      <c r="E388" t="str">
        <f>T("구공")</f>
        <v>구공</v>
      </c>
      <c r="H388" t="str">
        <f t="shared" si="81"/>
        <v>스토리위즈</v>
      </c>
      <c r="I388" t="str">
        <f>T("회귀자의 슬기로운 복수생활")</f>
        <v>회귀자의 슬기로운 복수생활</v>
      </c>
      <c r="J388">
        <v>100</v>
      </c>
      <c r="K388">
        <v>3400</v>
      </c>
      <c r="L388">
        <v>34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3400</v>
      </c>
      <c r="AH388">
        <v>34</v>
      </c>
      <c r="AI388">
        <v>0</v>
      </c>
      <c r="AJ388">
        <v>0</v>
      </c>
      <c r="AK388">
        <v>3400</v>
      </c>
      <c r="AL388">
        <v>0</v>
      </c>
      <c r="AM388">
        <v>0</v>
      </c>
      <c r="AN388">
        <v>0</v>
      </c>
      <c r="AO388">
        <v>0</v>
      </c>
      <c r="AP388">
        <v>2380</v>
      </c>
      <c r="AT388" t="str">
        <f>T("9791137601710")</f>
        <v>9791137601710</v>
      </c>
      <c r="AV388" t="str">
        <f t="shared" si="82"/>
        <v>판타지 웹소설 &gt; 퓨전 판타지</v>
      </c>
    </row>
    <row r="389" spans="1:48" x14ac:dyDescent="0.4">
      <c r="A389">
        <v>2313007845</v>
      </c>
      <c r="B389">
        <v>2313007879</v>
      </c>
      <c r="C389" t="str">
        <f>T("간신이 나라를 살림 35화")</f>
        <v>간신이 나라를 살림 35화</v>
      </c>
      <c r="D389" t="str">
        <f>T("35")</f>
        <v>35</v>
      </c>
      <c r="E389" t="str">
        <f>T("루이세")</f>
        <v>루이세</v>
      </c>
      <c r="H389" t="str">
        <f t="shared" si="81"/>
        <v>스토리위즈</v>
      </c>
      <c r="I389" t="str">
        <f>T("간신이 나라를 살림")</f>
        <v>간신이 나라를 살림</v>
      </c>
      <c r="J389">
        <v>100</v>
      </c>
      <c r="K389">
        <v>3300</v>
      </c>
      <c r="L389">
        <v>33</v>
      </c>
      <c r="M389">
        <v>0</v>
      </c>
      <c r="N389">
        <v>0</v>
      </c>
      <c r="O389">
        <v>0</v>
      </c>
      <c r="P389">
        <v>187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-300</v>
      </c>
      <c r="X389">
        <v>3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3300</v>
      </c>
      <c r="AH389">
        <v>220</v>
      </c>
      <c r="AI389">
        <v>-300</v>
      </c>
      <c r="AJ389">
        <v>4</v>
      </c>
      <c r="AK389">
        <v>3300</v>
      </c>
      <c r="AL389">
        <v>-300</v>
      </c>
      <c r="AM389">
        <v>0</v>
      </c>
      <c r="AN389">
        <v>0</v>
      </c>
      <c r="AO389">
        <v>0</v>
      </c>
      <c r="AP389">
        <v>2100</v>
      </c>
      <c r="AT389" t="str">
        <f>T("9791159284663")</f>
        <v>9791159284663</v>
      </c>
      <c r="AV389" t="str">
        <f t="shared" si="82"/>
        <v>판타지 웹소설 &gt; 퓨전 판타지</v>
      </c>
    </row>
    <row r="390" spans="1:48" x14ac:dyDescent="0.4">
      <c r="A390">
        <v>2313017096</v>
      </c>
      <c r="B390">
        <v>2313017095</v>
      </c>
      <c r="C390" t="str">
        <f>T("[e북]욕망하다 2권 (완결)")</f>
        <v>[e북]욕망하다 2권 (완결)</v>
      </c>
      <c r="D390" t="str">
        <f>T("2")</f>
        <v>2</v>
      </c>
      <c r="E390" t="str">
        <f>T("라비니안느")</f>
        <v>라비니안느</v>
      </c>
      <c r="H390" t="str">
        <f>T("도서출판 태랑")</f>
        <v>도서출판 태랑</v>
      </c>
      <c r="I390" t="str">
        <f>T("[e북]욕망하다")</f>
        <v>[e북]욕망하다</v>
      </c>
      <c r="J390">
        <v>3300</v>
      </c>
      <c r="K390">
        <v>3300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3300</v>
      </c>
      <c r="AH390">
        <v>1</v>
      </c>
      <c r="AI390">
        <v>0</v>
      </c>
      <c r="AJ390">
        <v>0</v>
      </c>
      <c r="AK390">
        <v>3300</v>
      </c>
      <c r="AL390">
        <v>0</v>
      </c>
      <c r="AM390">
        <v>0</v>
      </c>
      <c r="AN390">
        <v>0</v>
      </c>
      <c r="AO390">
        <v>0</v>
      </c>
      <c r="AP390">
        <v>2310</v>
      </c>
      <c r="AT390" t="str">
        <f>T("9791189627331")</f>
        <v>9791189627331</v>
      </c>
      <c r="AV390" t="str">
        <f>T("BL 소설 e북 &gt; 현대물")</f>
        <v>BL 소설 e북 &gt; 현대물</v>
      </c>
    </row>
    <row r="391" spans="1:48" x14ac:dyDescent="0.4">
      <c r="A391">
        <v>2313017657</v>
      </c>
      <c r="B391">
        <v>2313017713</v>
      </c>
      <c r="C391" t="str">
        <f>T("회귀자의 슬기로운 복수생활 57화")</f>
        <v>회귀자의 슬기로운 복수생활 57화</v>
      </c>
      <c r="D391" t="str">
        <f>T("57")</f>
        <v>57</v>
      </c>
      <c r="E391" t="str">
        <f>T("구공")</f>
        <v>구공</v>
      </c>
      <c r="H391" t="str">
        <f t="shared" ref="H391:H454" si="83">T("스토리위즈")</f>
        <v>스토리위즈</v>
      </c>
      <c r="I391" t="str">
        <f>T("회귀자의 슬기로운 복수생활")</f>
        <v>회귀자의 슬기로운 복수생활</v>
      </c>
      <c r="J391">
        <v>100</v>
      </c>
      <c r="K391">
        <v>3300</v>
      </c>
      <c r="L391">
        <v>33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3300</v>
      </c>
      <c r="AH391">
        <v>33</v>
      </c>
      <c r="AI391">
        <v>0</v>
      </c>
      <c r="AJ391">
        <v>0</v>
      </c>
      <c r="AK391">
        <v>3300</v>
      </c>
      <c r="AL391">
        <v>0</v>
      </c>
      <c r="AM391">
        <v>0</v>
      </c>
      <c r="AN391">
        <v>0</v>
      </c>
      <c r="AO391">
        <v>0</v>
      </c>
      <c r="AP391">
        <v>2310</v>
      </c>
      <c r="AT391" t="str">
        <f>T("9791137601710")</f>
        <v>9791137601710</v>
      </c>
      <c r="AV391" t="str">
        <f>T("판타지 웹소설 &gt; 퓨전 판타지")</f>
        <v>판타지 웹소설 &gt; 퓨전 판타지</v>
      </c>
    </row>
    <row r="392" spans="1:48" x14ac:dyDescent="0.4">
      <c r="A392">
        <v>2313000954</v>
      </c>
      <c r="B392">
        <v>2313000955</v>
      </c>
      <c r="C392" t="str">
        <f>T("[e북]라지에르의 서 2권")</f>
        <v>[e북]라지에르의 서 2권</v>
      </c>
      <c r="D392" t="str">
        <f>T("2")</f>
        <v>2</v>
      </c>
      <c r="E392" t="str">
        <f t="shared" ref="E392:E398" si="84">T("공든탑")</f>
        <v>공든탑</v>
      </c>
      <c r="H392" t="str">
        <f t="shared" si="83"/>
        <v>스토리위즈</v>
      </c>
      <c r="I392" t="str">
        <f t="shared" ref="I392:I398" si="85">T("[e북]라지에르의 서")</f>
        <v>[e북]라지에르의 서</v>
      </c>
      <c r="J392">
        <v>3200</v>
      </c>
      <c r="K392">
        <v>3200</v>
      </c>
      <c r="L392">
        <v>1</v>
      </c>
      <c r="M392">
        <v>0</v>
      </c>
      <c r="N392">
        <v>1800</v>
      </c>
      <c r="O392">
        <v>2</v>
      </c>
      <c r="P392">
        <v>0</v>
      </c>
      <c r="Q392">
        <v>0</v>
      </c>
      <c r="R392">
        <v>0</v>
      </c>
      <c r="S392">
        <v>6400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11400</v>
      </c>
      <c r="AH392">
        <v>7</v>
      </c>
      <c r="AI392">
        <v>0</v>
      </c>
      <c r="AJ392">
        <v>0</v>
      </c>
      <c r="AK392">
        <v>11400</v>
      </c>
      <c r="AL392">
        <v>0</v>
      </c>
      <c r="AM392">
        <v>0</v>
      </c>
      <c r="AN392">
        <v>0</v>
      </c>
      <c r="AO392">
        <v>0</v>
      </c>
      <c r="AP392">
        <v>7980</v>
      </c>
      <c r="AT392" t="str">
        <f>T("9791159286339")</f>
        <v>9791159286339</v>
      </c>
      <c r="AV392" t="str">
        <f t="shared" ref="AV392:AV398" si="86">T("판타지 e북 &gt; 퓨전 판타지")</f>
        <v>판타지 e북 &gt; 퓨전 판타지</v>
      </c>
    </row>
    <row r="393" spans="1:48" x14ac:dyDescent="0.4">
      <c r="A393">
        <v>2313000954</v>
      </c>
      <c r="B393">
        <v>2313000956</v>
      </c>
      <c r="C393" t="str">
        <f>T("[e북]라지에르의 서 3권")</f>
        <v>[e북]라지에르의 서 3권</v>
      </c>
      <c r="D393" t="str">
        <f>T("3")</f>
        <v>3</v>
      </c>
      <c r="E393" t="str">
        <f t="shared" si="84"/>
        <v>공든탑</v>
      </c>
      <c r="H393" t="str">
        <f t="shared" si="83"/>
        <v>스토리위즈</v>
      </c>
      <c r="I393" t="str">
        <f t="shared" si="85"/>
        <v>[e북]라지에르의 서</v>
      </c>
      <c r="J393">
        <v>3200</v>
      </c>
      <c r="K393">
        <v>3200</v>
      </c>
      <c r="L393">
        <v>1</v>
      </c>
      <c r="M393">
        <v>0</v>
      </c>
      <c r="N393">
        <v>900</v>
      </c>
      <c r="O393">
        <v>1</v>
      </c>
      <c r="P393">
        <v>0</v>
      </c>
      <c r="Q393">
        <v>0</v>
      </c>
      <c r="R393">
        <v>0</v>
      </c>
      <c r="S393">
        <v>6400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10500</v>
      </c>
      <c r="AH393">
        <v>6</v>
      </c>
      <c r="AI393">
        <v>0</v>
      </c>
      <c r="AJ393">
        <v>0</v>
      </c>
      <c r="AK393">
        <v>10500</v>
      </c>
      <c r="AL393">
        <v>0</v>
      </c>
      <c r="AM393">
        <v>0</v>
      </c>
      <c r="AN393">
        <v>0</v>
      </c>
      <c r="AO393">
        <v>0</v>
      </c>
      <c r="AP393">
        <v>7350</v>
      </c>
      <c r="AT393" t="str">
        <f>T("9791159286346")</f>
        <v>9791159286346</v>
      </c>
      <c r="AV393" t="str">
        <f t="shared" si="86"/>
        <v>판타지 e북 &gt; 퓨전 판타지</v>
      </c>
    </row>
    <row r="394" spans="1:48" x14ac:dyDescent="0.4">
      <c r="A394">
        <v>2313000954</v>
      </c>
      <c r="B394">
        <v>2313000957</v>
      </c>
      <c r="C394" t="str">
        <f>T("[e북]라지에르의 서 4권")</f>
        <v>[e북]라지에르의 서 4권</v>
      </c>
      <c r="D394" t="str">
        <f>T("4")</f>
        <v>4</v>
      </c>
      <c r="E394" t="str">
        <f t="shared" si="84"/>
        <v>공든탑</v>
      </c>
      <c r="H394" t="str">
        <f t="shared" si="83"/>
        <v>스토리위즈</v>
      </c>
      <c r="I394" t="str">
        <f t="shared" si="85"/>
        <v>[e북]라지에르의 서</v>
      </c>
      <c r="J394">
        <v>3200</v>
      </c>
      <c r="K394">
        <v>3200</v>
      </c>
      <c r="L394">
        <v>1</v>
      </c>
      <c r="M394">
        <v>0</v>
      </c>
      <c r="N394">
        <v>1800</v>
      </c>
      <c r="O394">
        <v>2</v>
      </c>
      <c r="P394">
        <v>0</v>
      </c>
      <c r="Q394">
        <v>0</v>
      </c>
      <c r="R394">
        <v>0</v>
      </c>
      <c r="S394">
        <v>6400</v>
      </c>
      <c r="T394">
        <v>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11400</v>
      </c>
      <c r="AH394">
        <v>7</v>
      </c>
      <c r="AI394">
        <v>0</v>
      </c>
      <c r="AJ394">
        <v>0</v>
      </c>
      <c r="AK394">
        <v>11400</v>
      </c>
      <c r="AL394">
        <v>0</v>
      </c>
      <c r="AM394">
        <v>0</v>
      </c>
      <c r="AN394">
        <v>0</v>
      </c>
      <c r="AO394">
        <v>0</v>
      </c>
      <c r="AP394">
        <v>7980</v>
      </c>
      <c r="AT394" t="str">
        <f>T("9791159286353")</f>
        <v>9791159286353</v>
      </c>
      <c r="AV394" t="str">
        <f t="shared" si="86"/>
        <v>판타지 e북 &gt; 퓨전 판타지</v>
      </c>
    </row>
    <row r="395" spans="1:48" x14ac:dyDescent="0.4">
      <c r="A395">
        <v>2313000954</v>
      </c>
      <c r="B395">
        <v>2313000958</v>
      </c>
      <c r="C395" t="str">
        <f>T("[e북]라지에르의 서 5권")</f>
        <v>[e북]라지에르의 서 5권</v>
      </c>
      <c r="D395" t="str">
        <f>T("5")</f>
        <v>5</v>
      </c>
      <c r="E395" t="str">
        <f t="shared" si="84"/>
        <v>공든탑</v>
      </c>
      <c r="H395" t="str">
        <f t="shared" si="83"/>
        <v>스토리위즈</v>
      </c>
      <c r="I395" t="str">
        <f t="shared" si="85"/>
        <v>[e북]라지에르의 서</v>
      </c>
      <c r="J395">
        <v>3200</v>
      </c>
      <c r="K395">
        <v>3200</v>
      </c>
      <c r="L395">
        <v>1</v>
      </c>
      <c r="M395">
        <v>0</v>
      </c>
      <c r="N395">
        <v>1800</v>
      </c>
      <c r="O395">
        <v>2</v>
      </c>
      <c r="P395">
        <v>0</v>
      </c>
      <c r="Q395">
        <v>0</v>
      </c>
      <c r="R395">
        <v>0</v>
      </c>
      <c r="S395">
        <v>6400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11400</v>
      </c>
      <c r="AH395">
        <v>7</v>
      </c>
      <c r="AI395">
        <v>0</v>
      </c>
      <c r="AJ395">
        <v>0</v>
      </c>
      <c r="AK395">
        <v>11400</v>
      </c>
      <c r="AL395">
        <v>0</v>
      </c>
      <c r="AM395">
        <v>0</v>
      </c>
      <c r="AN395">
        <v>0</v>
      </c>
      <c r="AO395">
        <v>0</v>
      </c>
      <c r="AP395">
        <v>7980</v>
      </c>
      <c r="AT395" t="str">
        <f>T("9791159286360")</f>
        <v>9791159286360</v>
      </c>
      <c r="AV395" t="str">
        <f t="shared" si="86"/>
        <v>판타지 e북 &gt; 퓨전 판타지</v>
      </c>
    </row>
    <row r="396" spans="1:48" x14ac:dyDescent="0.4">
      <c r="A396">
        <v>2313000954</v>
      </c>
      <c r="B396">
        <v>2313000959</v>
      </c>
      <c r="C396" t="str">
        <f>T("[e북]라지에르의 서 6권")</f>
        <v>[e북]라지에르의 서 6권</v>
      </c>
      <c r="D396" t="str">
        <f>T("6")</f>
        <v>6</v>
      </c>
      <c r="E396" t="str">
        <f t="shared" si="84"/>
        <v>공든탑</v>
      </c>
      <c r="H396" t="str">
        <f t="shared" si="83"/>
        <v>스토리위즈</v>
      </c>
      <c r="I396" t="str">
        <f t="shared" si="85"/>
        <v>[e북]라지에르의 서</v>
      </c>
      <c r="J396">
        <v>3200</v>
      </c>
      <c r="K396">
        <v>3200</v>
      </c>
      <c r="L396">
        <v>1</v>
      </c>
      <c r="M396">
        <v>0</v>
      </c>
      <c r="N396">
        <v>1800</v>
      </c>
      <c r="O396">
        <v>2</v>
      </c>
      <c r="P396">
        <v>0</v>
      </c>
      <c r="Q396">
        <v>0</v>
      </c>
      <c r="R396">
        <v>0</v>
      </c>
      <c r="S396">
        <v>6400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11400</v>
      </c>
      <c r="AH396">
        <v>7</v>
      </c>
      <c r="AI396">
        <v>0</v>
      </c>
      <c r="AJ396">
        <v>0</v>
      </c>
      <c r="AK396">
        <v>11400</v>
      </c>
      <c r="AL396">
        <v>0</v>
      </c>
      <c r="AM396">
        <v>0</v>
      </c>
      <c r="AN396">
        <v>0</v>
      </c>
      <c r="AO396">
        <v>0</v>
      </c>
      <c r="AP396">
        <v>7980</v>
      </c>
      <c r="AT396" t="str">
        <f>T("9791159286377")</f>
        <v>9791159286377</v>
      </c>
      <c r="AV396" t="str">
        <f t="shared" si="86"/>
        <v>판타지 e북 &gt; 퓨전 판타지</v>
      </c>
    </row>
    <row r="397" spans="1:48" x14ac:dyDescent="0.4">
      <c r="A397">
        <v>2313000954</v>
      </c>
      <c r="B397">
        <v>2313000960</v>
      </c>
      <c r="C397" t="str">
        <f>T("[e북]라지에르의 서 7권")</f>
        <v>[e북]라지에르의 서 7권</v>
      </c>
      <c r="D397" t="str">
        <f>T("7")</f>
        <v>7</v>
      </c>
      <c r="E397" t="str">
        <f t="shared" si="84"/>
        <v>공든탑</v>
      </c>
      <c r="H397" t="str">
        <f t="shared" si="83"/>
        <v>스토리위즈</v>
      </c>
      <c r="I397" t="str">
        <f t="shared" si="85"/>
        <v>[e북]라지에르의 서</v>
      </c>
      <c r="J397">
        <v>3200</v>
      </c>
      <c r="K397">
        <v>3200</v>
      </c>
      <c r="L397">
        <v>1</v>
      </c>
      <c r="M397">
        <v>0</v>
      </c>
      <c r="N397">
        <v>1800</v>
      </c>
      <c r="O397">
        <v>2</v>
      </c>
      <c r="P397">
        <v>0</v>
      </c>
      <c r="Q397">
        <v>0</v>
      </c>
      <c r="R397">
        <v>0</v>
      </c>
      <c r="S397">
        <v>6400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11400</v>
      </c>
      <c r="AH397">
        <v>7</v>
      </c>
      <c r="AI397">
        <v>0</v>
      </c>
      <c r="AJ397">
        <v>0</v>
      </c>
      <c r="AK397">
        <v>11400</v>
      </c>
      <c r="AL397">
        <v>0</v>
      </c>
      <c r="AM397">
        <v>0</v>
      </c>
      <c r="AN397">
        <v>0</v>
      </c>
      <c r="AO397">
        <v>0</v>
      </c>
      <c r="AP397">
        <v>7980</v>
      </c>
      <c r="AT397" t="str">
        <f>T("9791159286384")</f>
        <v>9791159286384</v>
      </c>
      <c r="AV397" t="str">
        <f t="shared" si="86"/>
        <v>판타지 e북 &gt; 퓨전 판타지</v>
      </c>
    </row>
    <row r="398" spans="1:48" x14ac:dyDescent="0.4">
      <c r="A398">
        <v>2313000954</v>
      </c>
      <c r="B398">
        <v>2313000961</v>
      </c>
      <c r="C398" t="str">
        <f>T("[e북]라지에르의 서 8권 (완결)")</f>
        <v>[e북]라지에르의 서 8권 (완결)</v>
      </c>
      <c r="D398" t="str">
        <f>T("8")</f>
        <v>8</v>
      </c>
      <c r="E398" t="str">
        <f t="shared" si="84"/>
        <v>공든탑</v>
      </c>
      <c r="H398" t="str">
        <f t="shared" si="83"/>
        <v>스토리위즈</v>
      </c>
      <c r="I398" t="str">
        <f t="shared" si="85"/>
        <v>[e북]라지에르의 서</v>
      </c>
      <c r="J398">
        <v>3200</v>
      </c>
      <c r="K398">
        <v>3200</v>
      </c>
      <c r="L398">
        <v>1</v>
      </c>
      <c r="M398">
        <v>0</v>
      </c>
      <c r="N398">
        <v>1800</v>
      </c>
      <c r="O398">
        <v>2</v>
      </c>
      <c r="P398">
        <v>0</v>
      </c>
      <c r="Q398">
        <v>0</v>
      </c>
      <c r="R398">
        <v>0</v>
      </c>
      <c r="S398">
        <v>6400</v>
      </c>
      <c r="T398">
        <v>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11400</v>
      </c>
      <c r="AH398">
        <v>7</v>
      </c>
      <c r="AI398">
        <v>0</v>
      </c>
      <c r="AJ398">
        <v>0</v>
      </c>
      <c r="AK398">
        <v>11400</v>
      </c>
      <c r="AL398">
        <v>0</v>
      </c>
      <c r="AM398">
        <v>0</v>
      </c>
      <c r="AN398">
        <v>0</v>
      </c>
      <c r="AO398">
        <v>0</v>
      </c>
      <c r="AP398">
        <v>7980</v>
      </c>
      <c r="AT398" t="str">
        <f>T("9791159286391")</f>
        <v>9791159286391</v>
      </c>
      <c r="AV398" t="str">
        <f t="shared" si="86"/>
        <v>판타지 e북 &gt; 퓨전 판타지</v>
      </c>
    </row>
    <row r="399" spans="1:48" x14ac:dyDescent="0.4">
      <c r="A399">
        <v>2313002073</v>
      </c>
      <c r="B399">
        <v>2313002076</v>
      </c>
      <c r="C399" t="str">
        <f>T("[e북]형사의 게임 4권")</f>
        <v>[e북]형사의 게임 4권</v>
      </c>
      <c r="D399" t="str">
        <f>T("4")</f>
        <v>4</v>
      </c>
      <c r="E399" t="str">
        <f t="shared" ref="E399:E404" si="87">T("무장")</f>
        <v>무장</v>
      </c>
      <c r="H399" t="str">
        <f t="shared" si="83"/>
        <v>스토리위즈</v>
      </c>
      <c r="I399" t="str">
        <f t="shared" ref="I399:I404" si="88">T("[e북]형사의 게임")</f>
        <v>[e북]형사의 게임</v>
      </c>
      <c r="J399">
        <v>3200</v>
      </c>
      <c r="K399">
        <v>3200</v>
      </c>
      <c r="L399">
        <v>1</v>
      </c>
      <c r="M399">
        <v>0</v>
      </c>
      <c r="N399">
        <v>23400</v>
      </c>
      <c r="O399">
        <v>26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26600</v>
      </c>
      <c r="AH399">
        <v>27</v>
      </c>
      <c r="AI399">
        <v>0</v>
      </c>
      <c r="AJ399">
        <v>0</v>
      </c>
      <c r="AK399">
        <v>26600</v>
      </c>
      <c r="AL399">
        <v>0</v>
      </c>
      <c r="AM399">
        <v>0</v>
      </c>
      <c r="AN399">
        <v>0</v>
      </c>
      <c r="AO399">
        <v>0</v>
      </c>
      <c r="AP399">
        <v>18620</v>
      </c>
      <c r="AT399" t="str">
        <f>T("9791195863068")</f>
        <v>9791195863068</v>
      </c>
      <c r="AV399" t="str">
        <f t="shared" ref="AV399:AV404" si="89">T("판타지 e북 &gt; 현대 판타지")</f>
        <v>판타지 e북 &gt; 현대 판타지</v>
      </c>
    </row>
    <row r="400" spans="1:48" x14ac:dyDescent="0.4">
      <c r="A400">
        <v>2313002073</v>
      </c>
      <c r="B400">
        <v>2313002077</v>
      </c>
      <c r="C400" t="str">
        <f>T("[e북]형사의 게임 5권")</f>
        <v>[e북]형사의 게임 5권</v>
      </c>
      <c r="D400" t="str">
        <f>T("5")</f>
        <v>5</v>
      </c>
      <c r="E400" t="str">
        <f t="shared" si="87"/>
        <v>무장</v>
      </c>
      <c r="H400" t="str">
        <f t="shared" si="83"/>
        <v>스토리위즈</v>
      </c>
      <c r="I400" t="str">
        <f t="shared" si="88"/>
        <v>[e북]형사의 게임</v>
      </c>
      <c r="J400">
        <v>3200</v>
      </c>
      <c r="K400">
        <v>3200</v>
      </c>
      <c r="L400">
        <v>1</v>
      </c>
      <c r="M400">
        <v>0</v>
      </c>
      <c r="N400">
        <v>24300</v>
      </c>
      <c r="O400">
        <v>27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27500</v>
      </c>
      <c r="AH400">
        <v>28</v>
      </c>
      <c r="AI400">
        <v>0</v>
      </c>
      <c r="AJ400">
        <v>0</v>
      </c>
      <c r="AK400">
        <v>27500</v>
      </c>
      <c r="AL400">
        <v>0</v>
      </c>
      <c r="AM400">
        <v>0</v>
      </c>
      <c r="AN400">
        <v>0</v>
      </c>
      <c r="AO400">
        <v>0</v>
      </c>
      <c r="AP400">
        <v>19250</v>
      </c>
      <c r="AT400" t="str">
        <f>T("9791195863075")</f>
        <v>9791195863075</v>
      </c>
      <c r="AV400" t="str">
        <f t="shared" si="89"/>
        <v>판타지 e북 &gt; 현대 판타지</v>
      </c>
    </row>
    <row r="401" spans="1:48" x14ac:dyDescent="0.4">
      <c r="A401">
        <v>2313002073</v>
      </c>
      <c r="B401">
        <v>2313002078</v>
      </c>
      <c r="C401" t="str">
        <f>T("[e북]형사의 게임 6권")</f>
        <v>[e북]형사의 게임 6권</v>
      </c>
      <c r="D401" t="str">
        <f>T("6")</f>
        <v>6</v>
      </c>
      <c r="E401" t="str">
        <f t="shared" si="87"/>
        <v>무장</v>
      </c>
      <c r="H401" t="str">
        <f t="shared" si="83"/>
        <v>스토리위즈</v>
      </c>
      <c r="I401" t="str">
        <f t="shared" si="88"/>
        <v>[e북]형사의 게임</v>
      </c>
      <c r="J401">
        <v>3200</v>
      </c>
      <c r="K401">
        <v>3200</v>
      </c>
      <c r="L401">
        <v>1</v>
      </c>
      <c r="M401">
        <v>0</v>
      </c>
      <c r="N401">
        <v>27000</v>
      </c>
      <c r="O401">
        <v>30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30200</v>
      </c>
      <c r="AH401">
        <v>31</v>
      </c>
      <c r="AI401">
        <v>0</v>
      </c>
      <c r="AJ401">
        <v>0</v>
      </c>
      <c r="AK401">
        <v>30200</v>
      </c>
      <c r="AL401">
        <v>0</v>
      </c>
      <c r="AM401">
        <v>0</v>
      </c>
      <c r="AN401">
        <v>0</v>
      </c>
      <c r="AO401">
        <v>0</v>
      </c>
      <c r="AP401">
        <v>21140</v>
      </c>
      <c r="AT401" t="str">
        <f>T("9791195863082")</f>
        <v>9791195863082</v>
      </c>
      <c r="AV401" t="str">
        <f t="shared" si="89"/>
        <v>판타지 e북 &gt; 현대 판타지</v>
      </c>
    </row>
    <row r="402" spans="1:48" x14ac:dyDescent="0.4">
      <c r="A402">
        <v>2313002073</v>
      </c>
      <c r="B402">
        <v>2313002079</v>
      </c>
      <c r="C402" t="str">
        <f>T("[e북]형사의 게임 7권")</f>
        <v>[e북]형사의 게임 7권</v>
      </c>
      <c r="D402" t="str">
        <f>T("7")</f>
        <v>7</v>
      </c>
      <c r="E402" t="str">
        <f t="shared" si="87"/>
        <v>무장</v>
      </c>
      <c r="H402" t="str">
        <f t="shared" si="83"/>
        <v>스토리위즈</v>
      </c>
      <c r="I402" t="str">
        <f t="shared" si="88"/>
        <v>[e북]형사의 게임</v>
      </c>
      <c r="J402">
        <v>3200</v>
      </c>
      <c r="K402">
        <v>3200</v>
      </c>
      <c r="L402">
        <v>1</v>
      </c>
      <c r="M402">
        <v>0</v>
      </c>
      <c r="N402">
        <v>26100</v>
      </c>
      <c r="O402">
        <v>29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29300</v>
      </c>
      <c r="AH402">
        <v>30</v>
      </c>
      <c r="AI402">
        <v>0</v>
      </c>
      <c r="AJ402">
        <v>0</v>
      </c>
      <c r="AK402">
        <v>29300</v>
      </c>
      <c r="AL402">
        <v>0</v>
      </c>
      <c r="AM402">
        <v>0</v>
      </c>
      <c r="AN402">
        <v>0</v>
      </c>
      <c r="AO402">
        <v>0</v>
      </c>
      <c r="AP402">
        <v>20510</v>
      </c>
      <c r="AT402" t="str">
        <f>T("9791195863099")</f>
        <v>9791195863099</v>
      </c>
      <c r="AV402" t="str">
        <f t="shared" si="89"/>
        <v>판타지 e북 &gt; 현대 판타지</v>
      </c>
    </row>
    <row r="403" spans="1:48" x14ac:dyDescent="0.4">
      <c r="A403">
        <v>2313002073</v>
      </c>
      <c r="B403">
        <v>2313002080</v>
      </c>
      <c r="C403" t="str">
        <f>T("[e북]형사의 게임 8권")</f>
        <v>[e북]형사의 게임 8권</v>
      </c>
      <c r="D403" t="str">
        <f>T("8")</f>
        <v>8</v>
      </c>
      <c r="E403" t="str">
        <f t="shared" si="87"/>
        <v>무장</v>
      </c>
      <c r="H403" t="str">
        <f t="shared" si="83"/>
        <v>스토리위즈</v>
      </c>
      <c r="I403" t="str">
        <f t="shared" si="88"/>
        <v>[e북]형사의 게임</v>
      </c>
      <c r="J403">
        <v>3200</v>
      </c>
      <c r="K403">
        <v>3200</v>
      </c>
      <c r="L403">
        <v>1</v>
      </c>
      <c r="M403">
        <v>0</v>
      </c>
      <c r="N403">
        <v>27000</v>
      </c>
      <c r="O403">
        <v>30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30200</v>
      </c>
      <c r="AH403">
        <v>31</v>
      </c>
      <c r="AI403">
        <v>0</v>
      </c>
      <c r="AJ403">
        <v>0</v>
      </c>
      <c r="AK403">
        <v>30200</v>
      </c>
      <c r="AL403">
        <v>0</v>
      </c>
      <c r="AM403">
        <v>0</v>
      </c>
      <c r="AN403">
        <v>0</v>
      </c>
      <c r="AO403">
        <v>0</v>
      </c>
      <c r="AP403">
        <v>21140</v>
      </c>
      <c r="AT403" t="str">
        <f>T("9791188630004")</f>
        <v>9791188630004</v>
      </c>
      <c r="AV403" t="str">
        <f t="shared" si="89"/>
        <v>판타지 e북 &gt; 현대 판타지</v>
      </c>
    </row>
    <row r="404" spans="1:48" x14ac:dyDescent="0.4">
      <c r="A404">
        <v>2313002073</v>
      </c>
      <c r="B404">
        <v>2313002081</v>
      </c>
      <c r="C404" t="str">
        <f>T("[e북]형사의 게임 9권")</f>
        <v>[e북]형사의 게임 9권</v>
      </c>
      <c r="D404" t="str">
        <f>T("9")</f>
        <v>9</v>
      </c>
      <c r="E404" t="str">
        <f t="shared" si="87"/>
        <v>무장</v>
      </c>
      <c r="H404" t="str">
        <f t="shared" si="83"/>
        <v>스토리위즈</v>
      </c>
      <c r="I404" t="str">
        <f t="shared" si="88"/>
        <v>[e북]형사의 게임</v>
      </c>
      <c r="J404">
        <v>3200</v>
      </c>
      <c r="K404">
        <v>3200</v>
      </c>
      <c r="L404">
        <v>1</v>
      </c>
      <c r="M404">
        <v>0</v>
      </c>
      <c r="N404">
        <v>27000</v>
      </c>
      <c r="O404">
        <v>30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30200</v>
      </c>
      <c r="AH404">
        <v>31</v>
      </c>
      <c r="AI404">
        <v>0</v>
      </c>
      <c r="AJ404">
        <v>0</v>
      </c>
      <c r="AK404">
        <v>29500</v>
      </c>
      <c r="AL404">
        <v>0</v>
      </c>
      <c r="AM404">
        <v>840</v>
      </c>
      <c r="AN404">
        <v>-252</v>
      </c>
      <c r="AO404">
        <v>0</v>
      </c>
      <c r="AP404">
        <v>21061.599999999999</v>
      </c>
      <c r="AT404" t="str">
        <f>T("9791188630011")</f>
        <v>9791188630011</v>
      </c>
      <c r="AV404" t="str">
        <f t="shared" si="89"/>
        <v>판타지 e북 &gt; 현대 판타지</v>
      </c>
    </row>
    <row r="405" spans="1:48" x14ac:dyDescent="0.4">
      <c r="A405">
        <v>2313005704</v>
      </c>
      <c r="B405">
        <v>2313005705</v>
      </c>
      <c r="C405" t="str">
        <f>T("[e북]나 혼자만 일일 보상 2권")</f>
        <v>[e북]나 혼자만 일일 보상 2권</v>
      </c>
      <c r="D405" t="str">
        <f>T("2")</f>
        <v>2</v>
      </c>
      <c r="E405" t="str">
        <f>T("이동열")</f>
        <v>이동열</v>
      </c>
      <c r="H405" t="str">
        <f t="shared" si="83"/>
        <v>스토리위즈</v>
      </c>
      <c r="I405" t="str">
        <f>T("[e북]나 혼자만 일일 보상")</f>
        <v>[e북]나 혼자만 일일 보상</v>
      </c>
      <c r="J405">
        <v>3200</v>
      </c>
      <c r="K405">
        <v>3200</v>
      </c>
      <c r="L405">
        <v>1</v>
      </c>
      <c r="M405">
        <v>0</v>
      </c>
      <c r="N405">
        <v>14670</v>
      </c>
      <c r="O405">
        <v>19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17870</v>
      </c>
      <c r="AH405">
        <v>20</v>
      </c>
      <c r="AI405">
        <v>0</v>
      </c>
      <c r="AJ405">
        <v>0</v>
      </c>
      <c r="AK405">
        <v>17870</v>
      </c>
      <c r="AL405">
        <v>0</v>
      </c>
      <c r="AM405">
        <v>0</v>
      </c>
      <c r="AN405">
        <v>0</v>
      </c>
      <c r="AO405">
        <v>0</v>
      </c>
      <c r="AP405">
        <v>12509</v>
      </c>
      <c r="AT405" t="str">
        <f>T("9791159289583")</f>
        <v>9791159289583</v>
      </c>
      <c r="AV405" t="str">
        <f t="shared" ref="AV405:AV420" si="90">T("판타지 e북 &gt; 퓨전 판타지")</f>
        <v>판타지 e북 &gt; 퓨전 판타지</v>
      </c>
    </row>
    <row r="406" spans="1:48" x14ac:dyDescent="0.4">
      <c r="A406">
        <v>2313005704</v>
      </c>
      <c r="B406">
        <v>2313005706</v>
      </c>
      <c r="C406" t="str">
        <f>T("[e북]나 혼자만 일일 보상 3권")</f>
        <v>[e북]나 혼자만 일일 보상 3권</v>
      </c>
      <c r="D406" t="str">
        <f>T("3")</f>
        <v>3</v>
      </c>
      <c r="E406" t="str">
        <f>T("이동열")</f>
        <v>이동열</v>
      </c>
      <c r="H406" t="str">
        <f t="shared" si="83"/>
        <v>스토리위즈</v>
      </c>
      <c r="I406" t="str">
        <f>T("[e북]나 혼자만 일일 보상")</f>
        <v>[e북]나 혼자만 일일 보상</v>
      </c>
      <c r="J406">
        <v>3200</v>
      </c>
      <c r="K406">
        <v>3200</v>
      </c>
      <c r="L406">
        <v>1</v>
      </c>
      <c r="M406">
        <v>0</v>
      </c>
      <c r="N406">
        <v>13770</v>
      </c>
      <c r="O406">
        <v>18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16970</v>
      </c>
      <c r="AH406">
        <v>19</v>
      </c>
      <c r="AI406">
        <v>0</v>
      </c>
      <c r="AJ406">
        <v>0</v>
      </c>
      <c r="AK406">
        <v>16970</v>
      </c>
      <c r="AL406">
        <v>0</v>
      </c>
      <c r="AM406">
        <v>0</v>
      </c>
      <c r="AN406">
        <v>0</v>
      </c>
      <c r="AO406">
        <v>0</v>
      </c>
      <c r="AP406">
        <v>11879</v>
      </c>
      <c r="AT406" t="str">
        <f>T("9791159289590")</f>
        <v>9791159289590</v>
      </c>
      <c r="AV406" t="str">
        <f t="shared" si="90"/>
        <v>판타지 e북 &gt; 퓨전 판타지</v>
      </c>
    </row>
    <row r="407" spans="1:48" x14ac:dyDescent="0.4">
      <c r="A407">
        <v>2313005704</v>
      </c>
      <c r="B407">
        <v>2313005707</v>
      </c>
      <c r="C407" t="str">
        <f>T("[e북]나 혼자만 일일 보상 4권")</f>
        <v>[e북]나 혼자만 일일 보상 4권</v>
      </c>
      <c r="D407" t="str">
        <f>T("4")</f>
        <v>4</v>
      </c>
      <c r="E407" t="str">
        <f>T("이동열")</f>
        <v>이동열</v>
      </c>
      <c r="H407" t="str">
        <f t="shared" si="83"/>
        <v>스토리위즈</v>
      </c>
      <c r="I407" t="str">
        <f>T("[e북]나 혼자만 일일 보상")</f>
        <v>[e북]나 혼자만 일일 보상</v>
      </c>
      <c r="J407">
        <v>3200</v>
      </c>
      <c r="K407">
        <v>3200</v>
      </c>
      <c r="L407">
        <v>1</v>
      </c>
      <c r="M407">
        <v>0</v>
      </c>
      <c r="N407">
        <v>11970</v>
      </c>
      <c r="O407">
        <v>16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15170</v>
      </c>
      <c r="AH407">
        <v>17</v>
      </c>
      <c r="AI407">
        <v>0</v>
      </c>
      <c r="AJ407">
        <v>0</v>
      </c>
      <c r="AK407">
        <v>15170</v>
      </c>
      <c r="AL407">
        <v>0</v>
      </c>
      <c r="AM407">
        <v>0</v>
      </c>
      <c r="AN407">
        <v>0</v>
      </c>
      <c r="AO407">
        <v>0</v>
      </c>
      <c r="AP407">
        <v>10619</v>
      </c>
      <c r="AT407" t="str">
        <f>T("9791159289606")</f>
        <v>9791159289606</v>
      </c>
      <c r="AV407" t="str">
        <f t="shared" si="90"/>
        <v>판타지 e북 &gt; 퓨전 판타지</v>
      </c>
    </row>
    <row r="408" spans="1:48" x14ac:dyDescent="0.4">
      <c r="A408">
        <v>2313007047</v>
      </c>
      <c r="B408">
        <v>2313007048</v>
      </c>
      <c r="C408" t="str">
        <f>T("[e북]삼국지 호접몽전 1부 2권")</f>
        <v>[e북]삼국지 호접몽전 1부 2권</v>
      </c>
      <c r="D408" t="str">
        <f>T("2")</f>
        <v>2</v>
      </c>
      <c r="E408" t="str">
        <f t="shared" ref="E408:E420" si="91">T("청빙")</f>
        <v>청빙</v>
      </c>
      <c r="H408" t="str">
        <f t="shared" si="83"/>
        <v>스토리위즈</v>
      </c>
      <c r="I408" t="str">
        <f t="shared" ref="I408:I420" si="92">T("[e북]삼국지 호접몽전")</f>
        <v>[e북]삼국지 호접몽전</v>
      </c>
      <c r="J408">
        <v>3200</v>
      </c>
      <c r="K408">
        <v>3200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3200</v>
      </c>
      <c r="AH408">
        <v>1</v>
      </c>
      <c r="AI408">
        <v>0</v>
      </c>
      <c r="AJ408">
        <v>0</v>
      </c>
      <c r="AK408">
        <v>3200</v>
      </c>
      <c r="AL408">
        <v>0</v>
      </c>
      <c r="AM408">
        <v>0</v>
      </c>
      <c r="AN408">
        <v>0</v>
      </c>
      <c r="AO408">
        <v>0</v>
      </c>
      <c r="AP408">
        <v>2240</v>
      </c>
      <c r="AT408" t="str">
        <f>T("9791159289224")</f>
        <v>9791159289224</v>
      </c>
      <c r="AV408" t="str">
        <f t="shared" si="90"/>
        <v>판타지 e북 &gt; 퓨전 판타지</v>
      </c>
    </row>
    <row r="409" spans="1:48" x14ac:dyDescent="0.4">
      <c r="A409">
        <v>2313007047</v>
      </c>
      <c r="B409">
        <v>2313007049</v>
      </c>
      <c r="C409" t="str">
        <f>T("[e북]삼국지 호접몽전 1부 3권")</f>
        <v>[e북]삼국지 호접몽전 1부 3권</v>
      </c>
      <c r="D409" t="str">
        <f>T("3")</f>
        <v>3</v>
      </c>
      <c r="E409" t="str">
        <f t="shared" si="91"/>
        <v>청빙</v>
      </c>
      <c r="H409" t="str">
        <f t="shared" si="83"/>
        <v>스토리위즈</v>
      </c>
      <c r="I409" t="str">
        <f t="shared" si="92"/>
        <v>[e북]삼국지 호접몽전</v>
      </c>
      <c r="J409">
        <v>3200</v>
      </c>
      <c r="K409">
        <v>3200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3200</v>
      </c>
      <c r="AH409">
        <v>1</v>
      </c>
      <c r="AI409">
        <v>0</v>
      </c>
      <c r="AJ409">
        <v>0</v>
      </c>
      <c r="AK409">
        <v>3200</v>
      </c>
      <c r="AL409">
        <v>0</v>
      </c>
      <c r="AM409">
        <v>0</v>
      </c>
      <c r="AN409">
        <v>0</v>
      </c>
      <c r="AO409">
        <v>0</v>
      </c>
      <c r="AP409">
        <v>2240</v>
      </c>
      <c r="AT409" t="str">
        <f>T("9791159289231")</f>
        <v>9791159289231</v>
      </c>
      <c r="AV409" t="str">
        <f t="shared" si="90"/>
        <v>판타지 e북 &gt; 퓨전 판타지</v>
      </c>
    </row>
    <row r="410" spans="1:48" x14ac:dyDescent="0.4">
      <c r="A410">
        <v>2313007047</v>
      </c>
      <c r="B410">
        <v>2313007050</v>
      </c>
      <c r="C410" t="str">
        <f>T("[e북]삼국지 호접몽전 1부 4권")</f>
        <v>[e북]삼국지 호접몽전 1부 4권</v>
      </c>
      <c r="D410" t="str">
        <f>T("4")</f>
        <v>4</v>
      </c>
      <c r="E410" t="str">
        <f t="shared" si="91"/>
        <v>청빙</v>
      </c>
      <c r="H410" t="str">
        <f t="shared" si="83"/>
        <v>스토리위즈</v>
      </c>
      <c r="I410" t="str">
        <f t="shared" si="92"/>
        <v>[e북]삼국지 호접몽전</v>
      </c>
      <c r="J410">
        <v>3200</v>
      </c>
      <c r="K410">
        <v>3200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3200</v>
      </c>
      <c r="AH410">
        <v>1</v>
      </c>
      <c r="AI410">
        <v>0</v>
      </c>
      <c r="AJ410">
        <v>0</v>
      </c>
      <c r="AK410">
        <v>3200</v>
      </c>
      <c r="AL410">
        <v>0</v>
      </c>
      <c r="AM410">
        <v>0</v>
      </c>
      <c r="AN410">
        <v>0</v>
      </c>
      <c r="AO410">
        <v>0</v>
      </c>
      <c r="AP410">
        <v>2240</v>
      </c>
      <c r="AT410" t="str">
        <f>T("9791159289248")</f>
        <v>9791159289248</v>
      </c>
      <c r="AV410" t="str">
        <f t="shared" si="90"/>
        <v>판타지 e북 &gt; 퓨전 판타지</v>
      </c>
    </row>
    <row r="411" spans="1:48" x14ac:dyDescent="0.4">
      <c r="A411">
        <v>2313007047</v>
      </c>
      <c r="B411">
        <v>2313007051</v>
      </c>
      <c r="C411" t="str">
        <f>T("[e북]삼국지 호접몽전 1부 5권")</f>
        <v>[e북]삼국지 호접몽전 1부 5권</v>
      </c>
      <c r="D411" t="str">
        <f>T("5")</f>
        <v>5</v>
      </c>
      <c r="E411" t="str">
        <f t="shared" si="91"/>
        <v>청빙</v>
      </c>
      <c r="H411" t="str">
        <f t="shared" si="83"/>
        <v>스토리위즈</v>
      </c>
      <c r="I411" t="str">
        <f t="shared" si="92"/>
        <v>[e북]삼국지 호접몽전</v>
      </c>
      <c r="J411">
        <v>3200</v>
      </c>
      <c r="K411">
        <v>3200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3200</v>
      </c>
      <c r="AH411">
        <v>1</v>
      </c>
      <c r="AI411">
        <v>0</v>
      </c>
      <c r="AJ411">
        <v>0</v>
      </c>
      <c r="AK411">
        <v>3200</v>
      </c>
      <c r="AL411">
        <v>0</v>
      </c>
      <c r="AM411">
        <v>0</v>
      </c>
      <c r="AN411">
        <v>0</v>
      </c>
      <c r="AO411">
        <v>0</v>
      </c>
      <c r="AP411">
        <v>2240</v>
      </c>
      <c r="AT411" t="str">
        <f>T("9791159289255")</f>
        <v>9791159289255</v>
      </c>
      <c r="AV411" t="str">
        <f t="shared" si="90"/>
        <v>판타지 e북 &gt; 퓨전 판타지</v>
      </c>
    </row>
    <row r="412" spans="1:48" x14ac:dyDescent="0.4">
      <c r="A412">
        <v>2313007047</v>
      </c>
      <c r="B412">
        <v>2313007052</v>
      </c>
      <c r="C412" t="str">
        <f>T("[e북]삼국지 호접몽전 1부 6권")</f>
        <v>[e북]삼국지 호접몽전 1부 6권</v>
      </c>
      <c r="D412" t="str">
        <f>T("6")</f>
        <v>6</v>
      </c>
      <c r="E412" t="str">
        <f t="shared" si="91"/>
        <v>청빙</v>
      </c>
      <c r="H412" t="str">
        <f t="shared" si="83"/>
        <v>스토리위즈</v>
      </c>
      <c r="I412" t="str">
        <f t="shared" si="92"/>
        <v>[e북]삼국지 호접몽전</v>
      </c>
      <c r="J412">
        <v>3200</v>
      </c>
      <c r="K412">
        <v>3200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3200</v>
      </c>
      <c r="AH412">
        <v>1</v>
      </c>
      <c r="AI412">
        <v>0</v>
      </c>
      <c r="AJ412">
        <v>0</v>
      </c>
      <c r="AK412">
        <v>3200</v>
      </c>
      <c r="AL412">
        <v>0</v>
      </c>
      <c r="AM412">
        <v>0</v>
      </c>
      <c r="AN412">
        <v>0</v>
      </c>
      <c r="AO412">
        <v>0</v>
      </c>
      <c r="AP412">
        <v>2240</v>
      </c>
      <c r="AT412" t="str">
        <f>T("9791159289262")</f>
        <v>9791159289262</v>
      </c>
      <c r="AV412" t="str">
        <f t="shared" si="90"/>
        <v>판타지 e북 &gt; 퓨전 판타지</v>
      </c>
    </row>
    <row r="413" spans="1:48" x14ac:dyDescent="0.4">
      <c r="A413">
        <v>2313007047</v>
      </c>
      <c r="B413">
        <v>2313007053</v>
      </c>
      <c r="C413" t="str">
        <f>T("[e북]삼국지 호접몽전 1부 7권")</f>
        <v>[e북]삼국지 호접몽전 1부 7권</v>
      </c>
      <c r="D413" t="str">
        <f>T("7")</f>
        <v>7</v>
      </c>
      <c r="E413" t="str">
        <f t="shared" si="91"/>
        <v>청빙</v>
      </c>
      <c r="H413" t="str">
        <f t="shared" si="83"/>
        <v>스토리위즈</v>
      </c>
      <c r="I413" t="str">
        <f t="shared" si="92"/>
        <v>[e북]삼국지 호접몽전</v>
      </c>
      <c r="J413">
        <v>3200</v>
      </c>
      <c r="K413">
        <v>3200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3200</v>
      </c>
      <c r="AH413">
        <v>1</v>
      </c>
      <c r="AI413">
        <v>0</v>
      </c>
      <c r="AJ413">
        <v>0</v>
      </c>
      <c r="AK413">
        <v>3200</v>
      </c>
      <c r="AL413">
        <v>0</v>
      </c>
      <c r="AM413">
        <v>0</v>
      </c>
      <c r="AN413">
        <v>0</v>
      </c>
      <c r="AO413">
        <v>0</v>
      </c>
      <c r="AP413">
        <v>2240</v>
      </c>
      <c r="AT413" t="str">
        <f>T("9791159289279")</f>
        <v>9791159289279</v>
      </c>
      <c r="AV413" t="str">
        <f t="shared" si="90"/>
        <v>판타지 e북 &gt; 퓨전 판타지</v>
      </c>
    </row>
    <row r="414" spans="1:48" x14ac:dyDescent="0.4">
      <c r="A414">
        <v>2313007047</v>
      </c>
      <c r="B414">
        <v>2313007054</v>
      </c>
      <c r="C414" t="str">
        <f>T("[e북]삼국지 호접몽전 1부 8권")</f>
        <v>[e북]삼국지 호접몽전 1부 8권</v>
      </c>
      <c r="D414" t="str">
        <f>T("8")</f>
        <v>8</v>
      </c>
      <c r="E414" t="str">
        <f t="shared" si="91"/>
        <v>청빙</v>
      </c>
      <c r="H414" t="str">
        <f t="shared" si="83"/>
        <v>스토리위즈</v>
      </c>
      <c r="I414" t="str">
        <f t="shared" si="92"/>
        <v>[e북]삼국지 호접몽전</v>
      </c>
      <c r="J414">
        <v>3200</v>
      </c>
      <c r="K414">
        <v>3200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3200</v>
      </c>
      <c r="AH414">
        <v>1</v>
      </c>
      <c r="AI414">
        <v>0</v>
      </c>
      <c r="AJ414">
        <v>0</v>
      </c>
      <c r="AK414">
        <v>3200</v>
      </c>
      <c r="AL414">
        <v>0</v>
      </c>
      <c r="AM414">
        <v>0</v>
      </c>
      <c r="AN414">
        <v>0</v>
      </c>
      <c r="AO414">
        <v>0</v>
      </c>
      <c r="AP414">
        <v>2240</v>
      </c>
      <c r="AT414" t="str">
        <f>T("9791159289286")</f>
        <v>9791159289286</v>
      </c>
      <c r="AV414" t="str">
        <f t="shared" si="90"/>
        <v>판타지 e북 &gt; 퓨전 판타지</v>
      </c>
    </row>
    <row r="415" spans="1:48" x14ac:dyDescent="0.4">
      <c r="A415">
        <v>2313007047</v>
      </c>
      <c r="B415">
        <v>2313007055</v>
      </c>
      <c r="C415" t="str">
        <f>T("[e북]삼국지 호접몽전 1부 9권")</f>
        <v>[e북]삼국지 호접몽전 1부 9권</v>
      </c>
      <c r="D415" t="str">
        <f>T("9")</f>
        <v>9</v>
      </c>
      <c r="E415" t="str">
        <f t="shared" si="91"/>
        <v>청빙</v>
      </c>
      <c r="H415" t="str">
        <f t="shared" si="83"/>
        <v>스토리위즈</v>
      </c>
      <c r="I415" t="str">
        <f t="shared" si="92"/>
        <v>[e북]삼국지 호접몽전</v>
      </c>
      <c r="J415">
        <v>3200</v>
      </c>
      <c r="K415">
        <v>3200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3200</v>
      </c>
      <c r="AH415">
        <v>1</v>
      </c>
      <c r="AI415">
        <v>0</v>
      </c>
      <c r="AJ415">
        <v>0</v>
      </c>
      <c r="AK415">
        <v>3200</v>
      </c>
      <c r="AL415">
        <v>0</v>
      </c>
      <c r="AM415">
        <v>0</v>
      </c>
      <c r="AN415">
        <v>0</v>
      </c>
      <c r="AO415">
        <v>0</v>
      </c>
      <c r="AP415">
        <v>2240</v>
      </c>
      <c r="AT415" t="str">
        <f>T("9791159289293")</f>
        <v>9791159289293</v>
      </c>
      <c r="AV415" t="str">
        <f t="shared" si="90"/>
        <v>판타지 e북 &gt; 퓨전 판타지</v>
      </c>
    </row>
    <row r="416" spans="1:48" x14ac:dyDescent="0.4">
      <c r="A416">
        <v>2313007047</v>
      </c>
      <c r="B416">
        <v>2313007056</v>
      </c>
      <c r="C416" t="str">
        <f>T("[e북]삼국지 호접몽전 1부 10권")</f>
        <v>[e북]삼국지 호접몽전 1부 10권</v>
      </c>
      <c r="D416" t="str">
        <f>T("10")</f>
        <v>10</v>
      </c>
      <c r="E416" t="str">
        <f t="shared" si="91"/>
        <v>청빙</v>
      </c>
      <c r="H416" t="str">
        <f t="shared" si="83"/>
        <v>스토리위즈</v>
      </c>
      <c r="I416" t="str">
        <f t="shared" si="92"/>
        <v>[e북]삼국지 호접몽전</v>
      </c>
      <c r="J416">
        <v>3200</v>
      </c>
      <c r="K416">
        <v>3200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3200</v>
      </c>
      <c r="AH416">
        <v>1</v>
      </c>
      <c r="AI416">
        <v>0</v>
      </c>
      <c r="AJ416">
        <v>0</v>
      </c>
      <c r="AK416">
        <v>3200</v>
      </c>
      <c r="AL416">
        <v>0</v>
      </c>
      <c r="AM416">
        <v>0</v>
      </c>
      <c r="AN416">
        <v>0</v>
      </c>
      <c r="AO416">
        <v>0</v>
      </c>
      <c r="AP416">
        <v>2240</v>
      </c>
      <c r="AT416" t="str">
        <f>T("9791159289309")</f>
        <v>9791159289309</v>
      </c>
      <c r="AV416" t="str">
        <f t="shared" si="90"/>
        <v>판타지 e북 &gt; 퓨전 판타지</v>
      </c>
    </row>
    <row r="417" spans="1:48" x14ac:dyDescent="0.4">
      <c r="A417">
        <v>2313007047</v>
      </c>
      <c r="B417">
        <v>2313007057</v>
      </c>
      <c r="C417" t="str">
        <f>T("[e북]삼국지 호접몽전 1부 11권")</f>
        <v>[e북]삼국지 호접몽전 1부 11권</v>
      </c>
      <c r="D417" t="str">
        <f>T("11")</f>
        <v>11</v>
      </c>
      <c r="E417" t="str">
        <f t="shared" si="91"/>
        <v>청빙</v>
      </c>
      <c r="H417" t="str">
        <f t="shared" si="83"/>
        <v>스토리위즈</v>
      </c>
      <c r="I417" t="str">
        <f t="shared" si="92"/>
        <v>[e북]삼국지 호접몽전</v>
      </c>
      <c r="J417">
        <v>3200</v>
      </c>
      <c r="K417">
        <v>3200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3200</v>
      </c>
      <c r="AH417">
        <v>1</v>
      </c>
      <c r="AI417">
        <v>0</v>
      </c>
      <c r="AJ417">
        <v>0</v>
      </c>
      <c r="AK417">
        <v>3200</v>
      </c>
      <c r="AL417">
        <v>0</v>
      </c>
      <c r="AM417">
        <v>0</v>
      </c>
      <c r="AN417">
        <v>0</v>
      </c>
      <c r="AO417">
        <v>0</v>
      </c>
      <c r="AP417">
        <v>2240</v>
      </c>
      <c r="AT417" t="str">
        <f>T("9791159289316")</f>
        <v>9791159289316</v>
      </c>
      <c r="AV417" t="str">
        <f t="shared" si="90"/>
        <v>판타지 e북 &gt; 퓨전 판타지</v>
      </c>
    </row>
    <row r="418" spans="1:48" x14ac:dyDescent="0.4">
      <c r="A418">
        <v>2313007047</v>
      </c>
      <c r="B418">
        <v>2313007058</v>
      </c>
      <c r="C418" t="str">
        <f>T("[e북]삼국지 호접몽전 1부 12권")</f>
        <v>[e북]삼국지 호접몽전 1부 12권</v>
      </c>
      <c r="D418" t="str">
        <f>T("12")</f>
        <v>12</v>
      </c>
      <c r="E418" t="str">
        <f t="shared" si="91"/>
        <v>청빙</v>
      </c>
      <c r="H418" t="str">
        <f t="shared" si="83"/>
        <v>스토리위즈</v>
      </c>
      <c r="I418" t="str">
        <f t="shared" si="92"/>
        <v>[e북]삼국지 호접몽전</v>
      </c>
      <c r="J418">
        <v>3200</v>
      </c>
      <c r="K418">
        <v>3200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3200</v>
      </c>
      <c r="AH418">
        <v>1</v>
      </c>
      <c r="AI418">
        <v>0</v>
      </c>
      <c r="AJ418">
        <v>0</v>
      </c>
      <c r="AK418">
        <v>3200</v>
      </c>
      <c r="AL418">
        <v>0</v>
      </c>
      <c r="AM418">
        <v>0</v>
      </c>
      <c r="AN418">
        <v>0</v>
      </c>
      <c r="AO418">
        <v>0</v>
      </c>
      <c r="AP418">
        <v>2240</v>
      </c>
      <c r="AT418" t="str">
        <f>T("9791159289323")</f>
        <v>9791159289323</v>
      </c>
      <c r="AV418" t="str">
        <f t="shared" si="90"/>
        <v>판타지 e북 &gt; 퓨전 판타지</v>
      </c>
    </row>
    <row r="419" spans="1:48" x14ac:dyDescent="0.4">
      <c r="A419">
        <v>2313007047</v>
      </c>
      <c r="B419">
        <v>2313007059</v>
      </c>
      <c r="C419" t="str">
        <f>T("[e북]삼국지 호접몽전 1부 13권")</f>
        <v>[e북]삼국지 호접몽전 1부 13권</v>
      </c>
      <c r="D419" t="str">
        <f>T("13")</f>
        <v>13</v>
      </c>
      <c r="E419" t="str">
        <f t="shared" si="91"/>
        <v>청빙</v>
      </c>
      <c r="H419" t="str">
        <f t="shared" si="83"/>
        <v>스토리위즈</v>
      </c>
      <c r="I419" t="str">
        <f t="shared" si="92"/>
        <v>[e북]삼국지 호접몽전</v>
      </c>
      <c r="J419">
        <v>3200</v>
      </c>
      <c r="K419">
        <v>3200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3200</v>
      </c>
      <c r="AH419">
        <v>1</v>
      </c>
      <c r="AI419">
        <v>0</v>
      </c>
      <c r="AJ419">
        <v>0</v>
      </c>
      <c r="AK419">
        <v>3200</v>
      </c>
      <c r="AL419">
        <v>0</v>
      </c>
      <c r="AM419">
        <v>0</v>
      </c>
      <c r="AN419">
        <v>0</v>
      </c>
      <c r="AO419">
        <v>0</v>
      </c>
      <c r="AP419">
        <v>2240</v>
      </c>
      <c r="AT419" t="str">
        <f>T("9791159289330")</f>
        <v>9791159289330</v>
      </c>
      <c r="AV419" t="str">
        <f t="shared" si="90"/>
        <v>판타지 e북 &gt; 퓨전 판타지</v>
      </c>
    </row>
    <row r="420" spans="1:48" x14ac:dyDescent="0.4">
      <c r="A420">
        <v>2313007047</v>
      </c>
      <c r="B420">
        <v>2313007060</v>
      </c>
      <c r="C420" t="str">
        <f>T("[e북]삼국지 호접몽전 1부 14권")</f>
        <v>[e북]삼국지 호접몽전 1부 14권</v>
      </c>
      <c r="D420" t="str">
        <f>T("14")</f>
        <v>14</v>
      </c>
      <c r="E420" t="str">
        <f t="shared" si="91"/>
        <v>청빙</v>
      </c>
      <c r="H420" t="str">
        <f t="shared" si="83"/>
        <v>스토리위즈</v>
      </c>
      <c r="I420" t="str">
        <f t="shared" si="92"/>
        <v>[e북]삼국지 호접몽전</v>
      </c>
      <c r="J420">
        <v>3200</v>
      </c>
      <c r="K420">
        <v>3200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3200</v>
      </c>
      <c r="AH420">
        <v>1</v>
      </c>
      <c r="AI420">
        <v>0</v>
      </c>
      <c r="AJ420">
        <v>0</v>
      </c>
      <c r="AK420">
        <v>3200</v>
      </c>
      <c r="AL420">
        <v>0</v>
      </c>
      <c r="AM420">
        <v>0</v>
      </c>
      <c r="AN420">
        <v>0</v>
      </c>
      <c r="AO420">
        <v>0</v>
      </c>
      <c r="AP420">
        <v>2240</v>
      </c>
      <c r="AT420" t="str">
        <f>T("9791159289347")</f>
        <v>9791159289347</v>
      </c>
      <c r="AV420" t="str">
        <f t="shared" si="90"/>
        <v>판타지 e북 &gt; 퓨전 판타지</v>
      </c>
    </row>
    <row r="421" spans="1:48" x14ac:dyDescent="0.4">
      <c r="A421">
        <v>2313009742</v>
      </c>
      <c r="B421">
        <v>2313009743</v>
      </c>
      <c r="C421" t="str">
        <f>T("[e북]검산도해 2권")</f>
        <v>[e북]검산도해 2권</v>
      </c>
      <c r="D421" t="str">
        <f>T("2")</f>
        <v>2</v>
      </c>
      <c r="E421" t="str">
        <f>T("권용찬")</f>
        <v>권용찬</v>
      </c>
      <c r="H421" t="str">
        <f t="shared" si="83"/>
        <v>스토리위즈</v>
      </c>
      <c r="I421" t="str">
        <f>T("[e북]검산도해")</f>
        <v>[e북]검산도해</v>
      </c>
      <c r="J421">
        <v>3200</v>
      </c>
      <c r="K421">
        <v>3200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3200</v>
      </c>
      <c r="AH421">
        <v>1</v>
      </c>
      <c r="AI421">
        <v>0</v>
      </c>
      <c r="AJ421">
        <v>0</v>
      </c>
      <c r="AK421">
        <v>3200</v>
      </c>
      <c r="AL421">
        <v>0</v>
      </c>
      <c r="AM421">
        <v>0</v>
      </c>
      <c r="AN421">
        <v>0</v>
      </c>
      <c r="AO421">
        <v>0</v>
      </c>
      <c r="AP421">
        <v>2240</v>
      </c>
      <c r="AR421" t="str">
        <f>T("0000000000000")</f>
        <v>0000000000000</v>
      </c>
      <c r="AT421" t="str">
        <f>T("9791197098413")</f>
        <v>9791197098413</v>
      </c>
      <c r="AV421" t="str">
        <f>T("판타지 e북 &gt; 신무협")</f>
        <v>판타지 e북 &gt; 신무협</v>
      </c>
    </row>
    <row r="422" spans="1:48" x14ac:dyDescent="0.4">
      <c r="A422">
        <v>2313009986</v>
      </c>
      <c r="B422">
        <v>2313009991</v>
      </c>
      <c r="C422" t="str">
        <f>T("[e북]리얼 머니 6권")</f>
        <v>[e북]리얼 머니 6권</v>
      </c>
      <c r="D422" t="str">
        <f>T("6")</f>
        <v>6</v>
      </c>
      <c r="E422" t="str">
        <f>T("진문")</f>
        <v>진문</v>
      </c>
      <c r="H422" t="str">
        <f t="shared" si="83"/>
        <v>스토리위즈</v>
      </c>
      <c r="I422" t="str">
        <f>T("[e북]리얼 머니")</f>
        <v>[e북]리얼 머니</v>
      </c>
      <c r="J422">
        <v>3200</v>
      </c>
      <c r="K422">
        <v>3200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3200</v>
      </c>
      <c r="AH422">
        <v>1</v>
      </c>
      <c r="AI422">
        <v>0</v>
      </c>
      <c r="AJ422">
        <v>0</v>
      </c>
      <c r="AK422">
        <v>3200</v>
      </c>
      <c r="AL422">
        <v>0</v>
      </c>
      <c r="AM422">
        <v>0</v>
      </c>
      <c r="AN422">
        <v>0</v>
      </c>
      <c r="AO422">
        <v>0</v>
      </c>
      <c r="AP422">
        <v>2240</v>
      </c>
      <c r="AT422" t="str">
        <f>T("9791166068133")</f>
        <v>9791166068133</v>
      </c>
      <c r="AV422" t="str">
        <f>T("판타지 e북 &gt; 현대 판타지")</f>
        <v>판타지 e북 &gt; 현대 판타지</v>
      </c>
    </row>
    <row r="423" spans="1:48" x14ac:dyDescent="0.4">
      <c r="A423">
        <v>2313009986</v>
      </c>
      <c r="B423">
        <v>2313009992</v>
      </c>
      <c r="C423" t="str">
        <f>T("[e북]리얼 머니 7권")</f>
        <v>[e북]리얼 머니 7권</v>
      </c>
      <c r="D423" t="str">
        <f>T("7")</f>
        <v>7</v>
      </c>
      <c r="E423" t="str">
        <f>T("진문")</f>
        <v>진문</v>
      </c>
      <c r="H423" t="str">
        <f t="shared" si="83"/>
        <v>스토리위즈</v>
      </c>
      <c r="I423" t="str">
        <f>T("[e북]리얼 머니")</f>
        <v>[e북]리얼 머니</v>
      </c>
      <c r="J423">
        <v>3200</v>
      </c>
      <c r="K423">
        <v>3200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3200</v>
      </c>
      <c r="AH423">
        <v>1</v>
      </c>
      <c r="AI423">
        <v>0</v>
      </c>
      <c r="AJ423">
        <v>0</v>
      </c>
      <c r="AK423">
        <v>3200</v>
      </c>
      <c r="AL423">
        <v>0</v>
      </c>
      <c r="AM423">
        <v>0</v>
      </c>
      <c r="AN423">
        <v>0</v>
      </c>
      <c r="AO423">
        <v>0</v>
      </c>
      <c r="AP423">
        <v>2240</v>
      </c>
      <c r="AT423" t="str">
        <f>T("9791166068140")</f>
        <v>9791166068140</v>
      </c>
      <c r="AV423" t="str">
        <f>T("판타지 e북 &gt; 현대 판타지")</f>
        <v>판타지 e북 &gt; 현대 판타지</v>
      </c>
    </row>
    <row r="424" spans="1:48" x14ac:dyDescent="0.4">
      <c r="A424">
        <v>2313009986</v>
      </c>
      <c r="B424">
        <v>2313009993</v>
      </c>
      <c r="C424" t="str">
        <f>T("[e북]리얼 머니 8권")</f>
        <v>[e북]리얼 머니 8권</v>
      </c>
      <c r="D424" t="str">
        <f>T("8")</f>
        <v>8</v>
      </c>
      <c r="E424" t="str">
        <f>T("진문")</f>
        <v>진문</v>
      </c>
      <c r="H424" t="str">
        <f t="shared" si="83"/>
        <v>스토리위즈</v>
      </c>
      <c r="I424" t="str">
        <f>T("[e북]리얼 머니")</f>
        <v>[e북]리얼 머니</v>
      </c>
      <c r="J424">
        <v>3200</v>
      </c>
      <c r="K424">
        <v>3200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3200</v>
      </c>
      <c r="AH424">
        <v>1</v>
      </c>
      <c r="AI424">
        <v>0</v>
      </c>
      <c r="AJ424">
        <v>0</v>
      </c>
      <c r="AK424">
        <v>3200</v>
      </c>
      <c r="AL424">
        <v>0</v>
      </c>
      <c r="AM424">
        <v>0</v>
      </c>
      <c r="AN424">
        <v>0</v>
      </c>
      <c r="AO424">
        <v>0</v>
      </c>
      <c r="AP424">
        <v>2240</v>
      </c>
      <c r="AT424" t="str">
        <f>T("9791166068157")</f>
        <v>9791166068157</v>
      </c>
      <c r="AV424" t="str">
        <f>T("판타지 e북 &gt; 현대 판타지")</f>
        <v>판타지 e북 &gt; 현대 판타지</v>
      </c>
    </row>
    <row r="425" spans="1:48" x14ac:dyDescent="0.4">
      <c r="A425">
        <v>2313009986</v>
      </c>
      <c r="B425">
        <v>2313009994</v>
      </c>
      <c r="C425" t="str">
        <f>T("[e북]리얼 머니 9권 (완결)")</f>
        <v>[e북]리얼 머니 9권 (완결)</v>
      </c>
      <c r="D425" t="str">
        <f>T("9")</f>
        <v>9</v>
      </c>
      <c r="E425" t="str">
        <f>T("진문")</f>
        <v>진문</v>
      </c>
      <c r="H425" t="str">
        <f t="shared" si="83"/>
        <v>스토리위즈</v>
      </c>
      <c r="I425" t="str">
        <f>T("[e북]리얼 머니")</f>
        <v>[e북]리얼 머니</v>
      </c>
      <c r="J425">
        <v>3200</v>
      </c>
      <c r="K425">
        <v>3200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3200</v>
      </c>
      <c r="AH425">
        <v>1</v>
      </c>
      <c r="AI425">
        <v>0</v>
      </c>
      <c r="AJ425">
        <v>0</v>
      </c>
      <c r="AK425">
        <v>3200</v>
      </c>
      <c r="AL425">
        <v>0</v>
      </c>
      <c r="AM425">
        <v>0</v>
      </c>
      <c r="AN425">
        <v>0</v>
      </c>
      <c r="AO425">
        <v>0</v>
      </c>
      <c r="AP425">
        <v>2240</v>
      </c>
      <c r="AT425" t="str">
        <f>T("9791166068164")</f>
        <v>9791166068164</v>
      </c>
      <c r="AV425" t="str">
        <f>T("판타지 e북 &gt; 현대 판타지")</f>
        <v>판타지 e북 &gt; 현대 판타지</v>
      </c>
    </row>
    <row r="426" spans="1:48" x14ac:dyDescent="0.4">
      <c r="A426">
        <v>2313011372</v>
      </c>
      <c r="B426">
        <v>2313011374</v>
      </c>
      <c r="C426" t="str">
        <f>T("[e북]라스트 서바이버 : 진화로 살아남아라! 3권")</f>
        <v>[e북]라스트 서바이버 : 진화로 살아남아라! 3권</v>
      </c>
      <c r="D426" t="str">
        <f>T("3")</f>
        <v>3</v>
      </c>
      <c r="E426" t="str">
        <f t="shared" ref="E426:E435" si="93">T("청빙")</f>
        <v>청빙</v>
      </c>
      <c r="H426" t="str">
        <f t="shared" si="83"/>
        <v>스토리위즈</v>
      </c>
      <c r="I426" t="str">
        <f t="shared" ref="I426:I431" si="94">T("[e북]라스트 서바이버 : 진화로 살아남아라!")</f>
        <v>[e북]라스트 서바이버 : 진화로 살아남아라!</v>
      </c>
      <c r="J426">
        <v>3200</v>
      </c>
      <c r="K426">
        <v>3200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3200</v>
      </c>
      <c r="AH426">
        <v>1</v>
      </c>
      <c r="AI426">
        <v>0</v>
      </c>
      <c r="AJ426">
        <v>0</v>
      </c>
      <c r="AK426">
        <v>3200</v>
      </c>
      <c r="AL426">
        <v>0</v>
      </c>
      <c r="AM426">
        <v>0</v>
      </c>
      <c r="AN426">
        <v>0</v>
      </c>
      <c r="AO426">
        <v>0</v>
      </c>
      <c r="AP426">
        <v>2240</v>
      </c>
      <c r="AT426" t="str">
        <f>T("9791137600560")</f>
        <v>9791137600560</v>
      </c>
      <c r="AV426" t="str">
        <f t="shared" ref="AV426:AV435" si="95">T("판타지 e북 &gt; 퓨전 판타지")</f>
        <v>판타지 e북 &gt; 퓨전 판타지</v>
      </c>
    </row>
    <row r="427" spans="1:48" x14ac:dyDescent="0.4">
      <c r="A427">
        <v>2313011372</v>
      </c>
      <c r="B427">
        <v>2313011376</v>
      </c>
      <c r="C427" t="str">
        <f>T("[e북]라스트 서바이버 : 진화로 살아남아라! 5권")</f>
        <v>[e북]라스트 서바이버 : 진화로 살아남아라! 5권</v>
      </c>
      <c r="D427" t="str">
        <f>T("5")</f>
        <v>5</v>
      </c>
      <c r="E427" t="str">
        <f t="shared" si="93"/>
        <v>청빙</v>
      </c>
      <c r="H427" t="str">
        <f t="shared" si="83"/>
        <v>스토리위즈</v>
      </c>
      <c r="I427" t="str">
        <f t="shared" si="94"/>
        <v>[e북]라스트 서바이버 : 진화로 살아남아라!</v>
      </c>
      <c r="J427">
        <v>3200</v>
      </c>
      <c r="K427">
        <v>3200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3200</v>
      </c>
      <c r="AH427">
        <v>1</v>
      </c>
      <c r="AI427">
        <v>0</v>
      </c>
      <c r="AJ427">
        <v>0</v>
      </c>
      <c r="AK427">
        <v>3200</v>
      </c>
      <c r="AL427">
        <v>0</v>
      </c>
      <c r="AM427">
        <v>0</v>
      </c>
      <c r="AN427">
        <v>0</v>
      </c>
      <c r="AO427">
        <v>0</v>
      </c>
      <c r="AP427">
        <v>2240</v>
      </c>
      <c r="AT427" t="str">
        <f>T("9791137600584")</f>
        <v>9791137600584</v>
      </c>
      <c r="AV427" t="str">
        <f t="shared" si="95"/>
        <v>판타지 e북 &gt; 퓨전 판타지</v>
      </c>
    </row>
    <row r="428" spans="1:48" x14ac:dyDescent="0.4">
      <c r="A428">
        <v>2313011372</v>
      </c>
      <c r="B428">
        <v>2313011377</v>
      </c>
      <c r="C428" t="str">
        <f>T("[e북]라스트 서바이버 : 진화로 살아남아라! 6권")</f>
        <v>[e북]라스트 서바이버 : 진화로 살아남아라! 6권</v>
      </c>
      <c r="D428" t="str">
        <f>T("6")</f>
        <v>6</v>
      </c>
      <c r="E428" t="str">
        <f t="shared" si="93"/>
        <v>청빙</v>
      </c>
      <c r="H428" t="str">
        <f t="shared" si="83"/>
        <v>스토리위즈</v>
      </c>
      <c r="I428" t="str">
        <f t="shared" si="94"/>
        <v>[e북]라스트 서바이버 : 진화로 살아남아라!</v>
      </c>
      <c r="J428">
        <v>3200</v>
      </c>
      <c r="K428">
        <v>3200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3200</v>
      </c>
      <c r="AH428">
        <v>1</v>
      </c>
      <c r="AI428">
        <v>0</v>
      </c>
      <c r="AJ428">
        <v>0</v>
      </c>
      <c r="AK428">
        <v>3200</v>
      </c>
      <c r="AL428">
        <v>0</v>
      </c>
      <c r="AM428">
        <v>0</v>
      </c>
      <c r="AN428">
        <v>0</v>
      </c>
      <c r="AO428">
        <v>0</v>
      </c>
      <c r="AP428">
        <v>2240</v>
      </c>
      <c r="AT428" t="str">
        <f>T("9791137600591")</f>
        <v>9791137600591</v>
      </c>
      <c r="AV428" t="str">
        <f t="shared" si="95"/>
        <v>판타지 e북 &gt; 퓨전 판타지</v>
      </c>
    </row>
    <row r="429" spans="1:48" x14ac:dyDescent="0.4">
      <c r="A429">
        <v>2313011372</v>
      </c>
      <c r="B429">
        <v>2313011378</v>
      </c>
      <c r="C429" t="str">
        <f>T("[e북]라스트 서바이버 : 진화로 살아남아라! 7권")</f>
        <v>[e북]라스트 서바이버 : 진화로 살아남아라! 7권</v>
      </c>
      <c r="D429" t="str">
        <f>T("7")</f>
        <v>7</v>
      </c>
      <c r="E429" t="str">
        <f t="shared" si="93"/>
        <v>청빙</v>
      </c>
      <c r="H429" t="str">
        <f t="shared" si="83"/>
        <v>스토리위즈</v>
      </c>
      <c r="I429" t="str">
        <f t="shared" si="94"/>
        <v>[e북]라스트 서바이버 : 진화로 살아남아라!</v>
      </c>
      <c r="J429">
        <v>3200</v>
      </c>
      <c r="K429">
        <v>3200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3200</v>
      </c>
      <c r="AH429">
        <v>1</v>
      </c>
      <c r="AI429">
        <v>0</v>
      </c>
      <c r="AJ429">
        <v>0</v>
      </c>
      <c r="AK429">
        <v>3200</v>
      </c>
      <c r="AL429">
        <v>0</v>
      </c>
      <c r="AM429">
        <v>0</v>
      </c>
      <c r="AN429">
        <v>0</v>
      </c>
      <c r="AO429">
        <v>0</v>
      </c>
      <c r="AP429">
        <v>2240</v>
      </c>
      <c r="AT429" t="str">
        <f>T("9791137600607")</f>
        <v>9791137600607</v>
      </c>
      <c r="AV429" t="str">
        <f t="shared" si="95"/>
        <v>판타지 e북 &gt; 퓨전 판타지</v>
      </c>
    </row>
    <row r="430" spans="1:48" x14ac:dyDescent="0.4">
      <c r="A430">
        <v>2313011372</v>
      </c>
      <c r="B430">
        <v>2313011383</v>
      </c>
      <c r="C430" t="str">
        <f>T("[e북]라스트 서바이버 : 진화로 살아남아라! 12권")</f>
        <v>[e북]라스트 서바이버 : 진화로 살아남아라! 12권</v>
      </c>
      <c r="D430" t="str">
        <f>T("12")</f>
        <v>12</v>
      </c>
      <c r="E430" t="str">
        <f t="shared" si="93"/>
        <v>청빙</v>
      </c>
      <c r="H430" t="str">
        <f t="shared" si="83"/>
        <v>스토리위즈</v>
      </c>
      <c r="I430" t="str">
        <f t="shared" si="94"/>
        <v>[e북]라스트 서바이버 : 진화로 살아남아라!</v>
      </c>
      <c r="J430">
        <v>3200</v>
      </c>
      <c r="K430">
        <v>3200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3200</v>
      </c>
      <c r="AH430">
        <v>1</v>
      </c>
      <c r="AI430">
        <v>0</v>
      </c>
      <c r="AJ430">
        <v>0</v>
      </c>
      <c r="AK430">
        <v>3200</v>
      </c>
      <c r="AL430">
        <v>0</v>
      </c>
      <c r="AM430">
        <v>0</v>
      </c>
      <c r="AN430">
        <v>0</v>
      </c>
      <c r="AO430">
        <v>0</v>
      </c>
      <c r="AP430">
        <v>2240</v>
      </c>
      <c r="AT430" t="str">
        <f>T("9791137600652")</f>
        <v>9791137600652</v>
      </c>
      <c r="AV430" t="str">
        <f t="shared" si="95"/>
        <v>판타지 e북 &gt; 퓨전 판타지</v>
      </c>
    </row>
    <row r="431" spans="1:48" x14ac:dyDescent="0.4">
      <c r="A431">
        <v>2313011372</v>
      </c>
      <c r="B431">
        <v>2313011384</v>
      </c>
      <c r="C431" t="str">
        <f>T("[e북]라스트 서바이버 : 진화로 살아남아라! 13권(완결)")</f>
        <v>[e북]라스트 서바이버 : 진화로 살아남아라! 13권(완결)</v>
      </c>
      <c r="D431" t="str">
        <f>T("13")</f>
        <v>13</v>
      </c>
      <c r="E431" t="str">
        <f t="shared" si="93"/>
        <v>청빙</v>
      </c>
      <c r="H431" t="str">
        <f t="shared" si="83"/>
        <v>스토리위즈</v>
      </c>
      <c r="I431" t="str">
        <f t="shared" si="94"/>
        <v>[e북]라스트 서바이버 : 진화로 살아남아라!</v>
      </c>
      <c r="J431">
        <v>3200</v>
      </c>
      <c r="K431">
        <v>3200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3200</v>
      </c>
      <c r="AH431">
        <v>1</v>
      </c>
      <c r="AI431">
        <v>0</v>
      </c>
      <c r="AJ431">
        <v>0</v>
      </c>
      <c r="AK431">
        <v>3200</v>
      </c>
      <c r="AL431">
        <v>0</v>
      </c>
      <c r="AM431">
        <v>0</v>
      </c>
      <c r="AN431">
        <v>0</v>
      </c>
      <c r="AO431">
        <v>0</v>
      </c>
      <c r="AP431">
        <v>2240</v>
      </c>
      <c r="AT431" t="str">
        <f>T("9791137600669")</f>
        <v>9791137600669</v>
      </c>
      <c r="AV431" t="str">
        <f t="shared" si="95"/>
        <v>판타지 e북 &gt; 퓨전 판타지</v>
      </c>
    </row>
    <row r="432" spans="1:48" x14ac:dyDescent="0.4">
      <c r="A432">
        <v>2313011386</v>
      </c>
      <c r="B432">
        <v>2313011387</v>
      </c>
      <c r="C432" t="str">
        <f>T("[e북]문답무용 - 삼국지 유비의 모사가 되었다 2권")</f>
        <v>[e북]문답무용 - 삼국지 유비의 모사가 되었다 2권</v>
      </c>
      <c r="D432" t="str">
        <f>T("2")</f>
        <v>2</v>
      </c>
      <c r="E432" t="str">
        <f t="shared" si="93"/>
        <v>청빙</v>
      </c>
      <c r="H432" t="str">
        <f t="shared" si="83"/>
        <v>스토리위즈</v>
      </c>
      <c r="I432" t="str">
        <f>T("[e북]문답무용 - 삼국지 유비의 모사가 되었다")</f>
        <v>[e북]문답무용 - 삼국지 유비의 모사가 되었다</v>
      </c>
      <c r="J432">
        <v>3200</v>
      </c>
      <c r="K432">
        <v>3200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3200</v>
      </c>
      <c r="AH432">
        <v>1</v>
      </c>
      <c r="AI432">
        <v>0</v>
      </c>
      <c r="AJ432">
        <v>0</v>
      </c>
      <c r="AK432">
        <v>3200</v>
      </c>
      <c r="AL432">
        <v>0</v>
      </c>
      <c r="AM432">
        <v>0</v>
      </c>
      <c r="AN432">
        <v>0</v>
      </c>
      <c r="AO432">
        <v>0</v>
      </c>
      <c r="AP432">
        <v>2240</v>
      </c>
      <c r="AT432" t="str">
        <f>T("9791166069949")</f>
        <v>9791166069949</v>
      </c>
      <c r="AV432" t="str">
        <f t="shared" si="95"/>
        <v>판타지 e북 &gt; 퓨전 판타지</v>
      </c>
    </row>
    <row r="433" spans="1:48" x14ac:dyDescent="0.4">
      <c r="A433">
        <v>2313011386</v>
      </c>
      <c r="B433">
        <v>2313011388</v>
      </c>
      <c r="C433" t="str">
        <f>T("[e북]문답무용 - 삼국지 유비의 모사가 되었다 3권")</f>
        <v>[e북]문답무용 - 삼국지 유비의 모사가 되었다 3권</v>
      </c>
      <c r="D433" t="str">
        <f>T("3")</f>
        <v>3</v>
      </c>
      <c r="E433" t="str">
        <f t="shared" si="93"/>
        <v>청빙</v>
      </c>
      <c r="H433" t="str">
        <f t="shared" si="83"/>
        <v>스토리위즈</v>
      </c>
      <c r="I433" t="str">
        <f>T("[e북]문답무용 - 삼국지 유비의 모사가 되었다")</f>
        <v>[e북]문답무용 - 삼국지 유비의 모사가 되었다</v>
      </c>
      <c r="J433">
        <v>3200</v>
      </c>
      <c r="K433">
        <v>3200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3200</v>
      </c>
      <c r="AH433">
        <v>1</v>
      </c>
      <c r="AI433">
        <v>0</v>
      </c>
      <c r="AJ433">
        <v>0</v>
      </c>
      <c r="AK433">
        <v>3200</v>
      </c>
      <c r="AL433">
        <v>0</v>
      </c>
      <c r="AM433">
        <v>0</v>
      </c>
      <c r="AN433">
        <v>0</v>
      </c>
      <c r="AO433">
        <v>0</v>
      </c>
      <c r="AP433">
        <v>2240</v>
      </c>
      <c r="AT433" t="str">
        <f>T("9791166069956")</f>
        <v>9791166069956</v>
      </c>
      <c r="AV433" t="str">
        <f t="shared" si="95"/>
        <v>판타지 e북 &gt; 퓨전 판타지</v>
      </c>
    </row>
    <row r="434" spans="1:48" x14ac:dyDescent="0.4">
      <c r="A434">
        <v>2313011386</v>
      </c>
      <c r="B434">
        <v>2313011389</v>
      </c>
      <c r="C434" t="str">
        <f>T("[e북]문답무용 - 삼국지 유비의 모사가 되었다 4권")</f>
        <v>[e북]문답무용 - 삼국지 유비의 모사가 되었다 4권</v>
      </c>
      <c r="D434" t="str">
        <f>T("4")</f>
        <v>4</v>
      </c>
      <c r="E434" t="str">
        <f t="shared" si="93"/>
        <v>청빙</v>
      </c>
      <c r="H434" t="str">
        <f t="shared" si="83"/>
        <v>스토리위즈</v>
      </c>
      <c r="I434" t="str">
        <f>T("[e북]문답무용 - 삼국지 유비의 모사가 되었다")</f>
        <v>[e북]문답무용 - 삼국지 유비의 모사가 되었다</v>
      </c>
      <c r="J434">
        <v>3200</v>
      </c>
      <c r="K434">
        <v>3200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3200</v>
      </c>
      <c r="AH434">
        <v>1</v>
      </c>
      <c r="AI434">
        <v>0</v>
      </c>
      <c r="AJ434">
        <v>0</v>
      </c>
      <c r="AK434">
        <v>3200</v>
      </c>
      <c r="AL434">
        <v>0</v>
      </c>
      <c r="AM434">
        <v>0</v>
      </c>
      <c r="AN434">
        <v>0</v>
      </c>
      <c r="AO434">
        <v>0</v>
      </c>
      <c r="AP434">
        <v>2240</v>
      </c>
      <c r="AT434" t="str">
        <f>T("9791166069963")</f>
        <v>9791166069963</v>
      </c>
      <c r="AV434" t="str">
        <f t="shared" si="95"/>
        <v>판타지 e북 &gt; 퓨전 판타지</v>
      </c>
    </row>
    <row r="435" spans="1:48" x14ac:dyDescent="0.4">
      <c r="A435">
        <v>2313011386</v>
      </c>
      <c r="B435">
        <v>2313011390</v>
      </c>
      <c r="C435" t="str">
        <f>T("[e북]문답무용 - 삼국지 유비의 모사가 되었다 5권")</f>
        <v>[e북]문답무용 - 삼국지 유비의 모사가 되었다 5권</v>
      </c>
      <c r="D435" t="str">
        <f>T("5")</f>
        <v>5</v>
      </c>
      <c r="E435" t="str">
        <f t="shared" si="93"/>
        <v>청빙</v>
      </c>
      <c r="H435" t="str">
        <f t="shared" si="83"/>
        <v>스토리위즈</v>
      </c>
      <c r="I435" t="str">
        <f>T("[e북]문답무용 - 삼국지 유비의 모사가 되었다")</f>
        <v>[e북]문답무용 - 삼국지 유비의 모사가 되었다</v>
      </c>
      <c r="J435">
        <v>3200</v>
      </c>
      <c r="K435">
        <v>3200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3200</v>
      </c>
      <c r="AH435">
        <v>1</v>
      </c>
      <c r="AI435">
        <v>0</v>
      </c>
      <c r="AJ435">
        <v>0</v>
      </c>
      <c r="AK435">
        <v>3200</v>
      </c>
      <c r="AL435">
        <v>0</v>
      </c>
      <c r="AM435">
        <v>0</v>
      </c>
      <c r="AN435">
        <v>0</v>
      </c>
      <c r="AO435">
        <v>0</v>
      </c>
      <c r="AP435">
        <v>2240</v>
      </c>
      <c r="AT435" t="str">
        <f>T("9791166069970")</f>
        <v>9791166069970</v>
      </c>
      <c r="AV435" t="str">
        <f t="shared" si="95"/>
        <v>판타지 e북 &gt; 퓨전 판타지</v>
      </c>
    </row>
    <row r="436" spans="1:48" x14ac:dyDescent="0.4">
      <c r="A436">
        <v>2313012798</v>
      </c>
      <c r="B436">
        <v>2313012800</v>
      </c>
      <c r="C436" t="str">
        <f>T("[e북]강호유정 3")</f>
        <v>[e북]강호유정 3</v>
      </c>
      <c r="D436" t="str">
        <f>T("3")</f>
        <v>3</v>
      </c>
      <c r="E436" t="str">
        <f t="shared" ref="E436:E445" si="96">T("무장")</f>
        <v>무장</v>
      </c>
      <c r="H436" t="str">
        <f t="shared" si="83"/>
        <v>스토리위즈</v>
      </c>
      <c r="I436" t="str">
        <f>T("[e북]강호유정")</f>
        <v>[e북]강호유정</v>
      </c>
      <c r="J436">
        <v>3200</v>
      </c>
      <c r="K436">
        <v>3200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3200</v>
      </c>
      <c r="AH436">
        <v>1</v>
      </c>
      <c r="AI436">
        <v>0</v>
      </c>
      <c r="AJ436">
        <v>0</v>
      </c>
      <c r="AK436">
        <v>3200</v>
      </c>
      <c r="AL436">
        <v>0</v>
      </c>
      <c r="AM436">
        <v>0</v>
      </c>
      <c r="AN436">
        <v>0</v>
      </c>
      <c r="AO436">
        <v>0</v>
      </c>
      <c r="AP436">
        <v>2240</v>
      </c>
      <c r="AR436" t="str">
        <f>T("9788928010981")</f>
        <v>9788928010981</v>
      </c>
      <c r="AT436" t="str">
        <f>T("9791137602625")</f>
        <v>9791137602625</v>
      </c>
      <c r="AU436" t="str">
        <f>T("BOOKCUBE.131100763")</f>
        <v>BOOKCUBE.131100763</v>
      </c>
      <c r="AV436" t="str">
        <f t="shared" ref="AV436:AV445" si="97">T("판타지 e북 &gt; 신무협")</f>
        <v>판타지 e북 &gt; 신무협</v>
      </c>
    </row>
    <row r="437" spans="1:48" x14ac:dyDescent="0.4">
      <c r="A437">
        <v>2313012798</v>
      </c>
      <c r="B437">
        <v>2313012801</v>
      </c>
      <c r="C437" t="str">
        <f>T("[e북]강호유정 4")</f>
        <v>[e북]강호유정 4</v>
      </c>
      <c r="D437" t="str">
        <f>T("4")</f>
        <v>4</v>
      </c>
      <c r="E437" t="str">
        <f t="shared" si="96"/>
        <v>무장</v>
      </c>
      <c r="H437" t="str">
        <f t="shared" si="83"/>
        <v>스토리위즈</v>
      </c>
      <c r="I437" t="str">
        <f>T("[e북]강호유정")</f>
        <v>[e북]강호유정</v>
      </c>
      <c r="J437">
        <v>3200</v>
      </c>
      <c r="K437">
        <v>3200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3200</v>
      </c>
      <c r="AH437">
        <v>1</v>
      </c>
      <c r="AI437">
        <v>0</v>
      </c>
      <c r="AJ437">
        <v>0</v>
      </c>
      <c r="AK437">
        <v>3200</v>
      </c>
      <c r="AL437">
        <v>0</v>
      </c>
      <c r="AM437">
        <v>0</v>
      </c>
      <c r="AN437">
        <v>0</v>
      </c>
      <c r="AO437">
        <v>0</v>
      </c>
      <c r="AP437">
        <v>2240</v>
      </c>
      <c r="AR437" t="str">
        <f>T("9788928011261")</f>
        <v>9788928011261</v>
      </c>
      <c r="AT437" t="str">
        <f>T("9791137602632")</f>
        <v>9791137602632</v>
      </c>
      <c r="AU437" t="str">
        <f>T("BOOKCUBE.131100764")</f>
        <v>BOOKCUBE.131100764</v>
      </c>
      <c r="AV437" t="str">
        <f t="shared" si="97"/>
        <v>판타지 e북 &gt; 신무협</v>
      </c>
    </row>
    <row r="438" spans="1:48" x14ac:dyDescent="0.4">
      <c r="A438">
        <v>2313012798</v>
      </c>
      <c r="B438">
        <v>2313012802</v>
      </c>
      <c r="C438" t="str">
        <f>T("[e북]강호유정 5")</f>
        <v>[e북]강호유정 5</v>
      </c>
      <c r="D438" t="str">
        <f>T("5")</f>
        <v>5</v>
      </c>
      <c r="E438" t="str">
        <f t="shared" si="96"/>
        <v>무장</v>
      </c>
      <c r="H438" t="str">
        <f t="shared" si="83"/>
        <v>스토리위즈</v>
      </c>
      <c r="I438" t="str">
        <f>T("[e북]강호유정")</f>
        <v>[e북]강호유정</v>
      </c>
      <c r="J438">
        <v>3200</v>
      </c>
      <c r="K438">
        <v>3200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3200</v>
      </c>
      <c r="AH438">
        <v>1</v>
      </c>
      <c r="AI438">
        <v>0</v>
      </c>
      <c r="AJ438">
        <v>0</v>
      </c>
      <c r="AK438">
        <v>3200</v>
      </c>
      <c r="AL438">
        <v>0</v>
      </c>
      <c r="AM438">
        <v>0</v>
      </c>
      <c r="AN438">
        <v>0</v>
      </c>
      <c r="AO438">
        <v>0</v>
      </c>
      <c r="AP438">
        <v>2240</v>
      </c>
      <c r="AR438" t="str">
        <f>T("9788928011667")</f>
        <v>9788928011667</v>
      </c>
      <c r="AT438" t="str">
        <f>T("9791137602649")</f>
        <v>9791137602649</v>
      </c>
      <c r="AU438" t="str">
        <f>T("BOOKCUBE.131100765")</f>
        <v>BOOKCUBE.131100765</v>
      </c>
      <c r="AV438" t="str">
        <f t="shared" si="97"/>
        <v>판타지 e북 &gt; 신무협</v>
      </c>
    </row>
    <row r="439" spans="1:48" x14ac:dyDescent="0.4">
      <c r="A439">
        <v>2313012798</v>
      </c>
      <c r="B439">
        <v>2313012803</v>
      </c>
      <c r="C439" t="str">
        <f>T("[e북]강호유정 6 (완결)")</f>
        <v>[e북]강호유정 6 (완결)</v>
      </c>
      <c r="D439" t="str">
        <f>T("6")</f>
        <v>6</v>
      </c>
      <c r="E439" t="str">
        <f t="shared" si="96"/>
        <v>무장</v>
      </c>
      <c r="H439" t="str">
        <f t="shared" si="83"/>
        <v>스토리위즈</v>
      </c>
      <c r="I439" t="str">
        <f>T("[e북]강호유정")</f>
        <v>[e북]강호유정</v>
      </c>
      <c r="J439">
        <v>3200</v>
      </c>
      <c r="K439">
        <v>3200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3200</v>
      </c>
      <c r="AH439">
        <v>1</v>
      </c>
      <c r="AI439">
        <v>0</v>
      </c>
      <c r="AJ439">
        <v>0</v>
      </c>
      <c r="AK439">
        <v>3200</v>
      </c>
      <c r="AL439">
        <v>0</v>
      </c>
      <c r="AM439">
        <v>0</v>
      </c>
      <c r="AN439">
        <v>0</v>
      </c>
      <c r="AO439">
        <v>0</v>
      </c>
      <c r="AP439">
        <v>2240</v>
      </c>
      <c r="AR439" t="str">
        <f>T("9788928011902")</f>
        <v>9788928011902</v>
      </c>
      <c r="AT439" t="str">
        <f>T("9791137602656")</f>
        <v>9791137602656</v>
      </c>
      <c r="AU439" t="str">
        <f>T("BOOKCUBE.131100766")</f>
        <v>BOOKCUBE.131100766</v>
      </c>
      <c r="AV439" t="str">
        <f t="shared" si="97"/>
        <v>판타지 e북 &gt; 신무협</v>
      </c>
    </row>
    <row r="440" spans="1:48" x14ac:dyDescent="0.4">
      <c r="A440">
        <v>2313015171</v>
      </c>
      <c r="B440">
        <v>2313015173</v>
      </c>
      <c r="C440" t="str">
        <f>T("[e북]도폐풍운록 3권")</f>
        <v>[e북]도폐풍운록 3권</v>
      </c>
      <c r="D440" t="str">
        <f>T("3")</f>
        <v>3</v>
      </c>
      <c r="E440" t="str">
        <f t="shared" si="96"/>
        <v>무장</v>
      </c>
      <c r="H440" t="str">
        <f t="shared" si="83"/>
        <v>스토리위즈</v>
      </c>
      <c r="I440" t="str">
        <f>T("[e북]도폐풍운록")</f>
        <v>[e북]도폐풍운록</v>
      </c>
      <c r="J440">
        <v>3200</v>
      </c>
      <c r="K440">
        <v>3200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3200</v>
      </c>
      <c r="AH440">
        <v>1</v>
      </c>
      <c r="AI440">
        <v>0</v>
      </c>
      <c r="AJ440">
        <v>0</v>
      </c>
      <c r="AK440">
        <v>3200</v>
      </c>
      <c r="AL440">
        <v>0</v>
      </c>
      <c r="AM440">
        <v>0</v>
      </c>
      <c r="AN440">
        <v>0</v>
      </c>
      <c r="AO440">
        <v>0</v>
      </c>
      <c r="AP440">
        <v>2240</v>
      </c>
      <c r="AR440" t="str">
        <f t="shared" ref="AR440:AR445" si="98">T("0000000000000")</f>
        <v>0000000000000</v>
      </c>
      <c r="AT440" t="str">
        <f>T("9791137602823")</f>
        <v>9791137602823</v>
      </c>
      <c r="AV440" t="str">
        <f t="shared" si="97"/>
        <v>판타지 e북 &gt; 신무협</v>
      </c>
    </row>
    <row r="441" spans="1:48" x14ac:dyDescent="0.4">
      <c r="A441">
        <v>2313015171</v>
      </c>
      <c r="B441">
        <v>2313015174</v>
      </c>
      <c r="C441" t="str">
        <f>T("[e북]도폐풍운록 4권 (완결)")</f>
        <v>[e북]도폐풍운록 4권 (완결)</v>
      </c>
      <c r="D441" t="str">
        <f>T("4")</f>
        <v>4</v>
      </c>
      <c r="E441" t="str">
        <f t="shared" si="96"/>
        <v>무장</v>
      </c>
      <c r="H441" t="str">
        <f t="shared" si="83"/>
        <v>스토리위즈</v>
      </c>
      <c r="I441" t="str">
        <f>T("[e북]도폐풍운록")</f>
        <v>[e북]도폐풍운록</v>
      </c>
      <c r="J441">
        <v>3200</v>
      </c>
      <c r="K441">
        <v>3200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3200</v>
      </c>
      <c r="AH441">
        <v>1</v>
      </c>
      <c r="AI441">
        <v>0</v>
      </c>
      <c r="AJ441">
        <v>0</v>
      </c>
      <c r="AK441">
        <v>3200</v>
      </c>
      <c r="AL441">
        <v>0</v>
      </c>
      <c r="AM441">
        <v>0</v>
      </c>
      <c r="AN441">
        <v>0</v>
      </c>
      <c r="AO441">
        <v>0</v>
      </c>
      <c r="AP441">
        <v>2240</v>
      </c>
      <c r="AR441" t="str">
        <f t="shared" si="98"/>
        <v>0000000000000</v>
      </c>
      <c r="AT441" t="str">
        <f>T("9791137602830")</f>
        <v>9791137602830</v>
      </c>
      <c r="AV441" t="str">
        <f t="shared" si="97"/>
        <v>판타지 e북 &gt; 신무협</v>
      </c>
    </row>
    <row r="442" spans="1:48" x14ac:dyDescent="0.4">
      <c r="A442">
        <v>2313015175</v>
      </c>
      <c r="B442">
        <v>2313015176</v>
      </c>
      <c r="C442" t="str">
        <f>T("[e북]선유문주 2권")</f>
        <v>[e북]선유문주 2권</v>
      </c>
      <c r="D442" t="str">
        <f>T("2")</f>
        <v>2</v>
      </c>
      <c r="E442" t="str">
        <f t="shared" si="96"/>
        <v>무장</v>
      </c>
      <c r="H442" t="str">
        <f t="shared" si="83"/>
        <v>스토리위즈</v>
      </c>
      <c r="I442" t="str">
        <f>T("[e북]선유문주")</f>
        <v>[e북]선유문주</v>
      </c>
      <c r="J442">
        <v>3200</v>
      </c>
      <c r="K442">
        <v>3200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3200</v>
      </c>
      <c r="AH442">
        <v>1</v>
      </c>
      <c r="AI442">
        <v>0</v>
      </c>
      <c r="AJ442">
        <v>0</v>
      </c>
      <c r="AK442">
        <v>3200</v>
      </c>
      <c r="AL442">
        <v>0</v>
      </c>
      <c r="AM442">
        <v>0</v>
      </c>
      <c r="AN442">
        <v>0</v>
      </c>
      <c r="AO442">
        <v>0</v>
      </c>
      <c r="AP442">
        <v>2240</v>
      </c>
      <c r="AR442" t="str">
        <f t="shared" si="98"/>
        <v>0000000000000</v>
      </c>
      <c r="AT442" t="str">
        <f>T("9791137602861")</f>
        <v>9791137602861</v>
      </c>
      <c r="AV442" t="str">
        <f t="shared" si="97"/>
        <v>판타지 e북 &gt; 신무협</v>
      </c>
    </row>
    <row r="443" spans="1:48" x14ac:dyDescent="0.4">
      <c r="A443">
        <v>2313015175</v>
      </c>
      <c r="B443">
        <v>2313015177</v>
      </c>
      <c r="C443" t="str">
        <f>T("[e북]선유문주 3권")</f>
        <v>[e북]선유문주 3권</v>
      </c>
      <c r="D443" t="str">
        <f>T("3")</f>
        <v>3</v>
      </c>
      <c r="E443" t="str">
        <f t="shared" si="96"/>
        <v>무장</v>
      </c>
      <c r="H443" t="str">
        <f t="shared" si="83"/>
        <v>스토리위즈</v>
      </c>
      <c r="I443" t="str">
        <f>T("[e북]선유문주")</f>
        <v>[e북]선유문주</v>
      </c>
      <c r="J443">
        <v>3200</v>
      </c>
      <c r="K443">
        <v>3200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3200</v>
      </c>
      <c r="AH443">
        <v>1</v>
      </c>
      <c r="AI443">
        <v>0</v>
      </c>
      <c r="AJ443">
        <v>0</v>
      </c>
      <c r="AK443">
        <v>3200</v>
      </c>
      <c r="AL443">
        <v>0</v>
      </c>
      <c r="AM443">
        <v>0</v>
      </c>
      <c r="AN443">
        <v>0</v>
      </c>
      <c r="AO443">
        <v>0</v>
      </c>
      <c r="AP443">
        <v>2240</v>
      </c>
      <c r="AR443" t="str">
        <f t="shared" si="98"/>
        <v>0000000000000</v>
      </c>
      <c r="AT443" t="str">
        <f>T("9791137602878")</f>
        <v>9791137602878</v>
      </c>
      <c r="AV443" t="str">
        <f t="shared" si="97"/>
        <v>판타지 e북 &gt; 신무협</v>
      </c>
    </row>
    <row r="444" spans="1:48" x14ac:dyDescent="0.4">
      <c r="A444">
        <v>2313015175</v>
      </c>
      <c r="B444">
        <v>2313015178</v>
      </c>
      <c r="C444" t="str">
        <f>T("[e북]선유문주 4권")</f>
        <v>[e북]선유문주 4권</v>
      </c>
      <c r="D444" t="str">
        <f>T("4")</f>
        <v>4</v>
      </c>
      <c r="E444" t="str">
        <f t="shared" si="96"/>
        <v>무장</v>
      </c>
      <c r="H444" t="str">
        <f t="shared" si="83"/>
        <v>스토리위즈</v>
      </c>
      <c r="I444" t="str">
        <f>T("[e북]선유문주")</f>
        <v>[e북]선유문주</v>
      </c>
      <c r="J444">
        <v>3200</v>
      </c>
      <c r="K444">
        <v>3200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3200</v>
      </c>
      <c r="AH444">
        <v>1</v>
      </c>
      <c r="AI444">
        <v>0</v>
      </c>
      <c r="AJ444">
        <v>0</v>
      </c>
      <c r="AK444">
        <v>3200</v>
      </c>
      <c r="AL444">
        <v>0</v>
      </c>
      <c r="AM444">
        <v>0</v>
      </c>
      <c r="AN444">
        <v>0</v>
      </c>
      <c r="AO444">
        <v>0</v>
      </c>
      <c r="AP444">
        <v>2240</v>
      </c>
      <c r="AR444" t="str">
        <f t="shared" si="98"/>
        <v>0000000000000</v>
      </c>
      <c r="AT444" t="str">
        <f>T("9791137602885")</f>
        <v>9791137602885</v>
      </c>
      <c r="AV444" t="str">
        <f t="shared" si="97"/>
        <v>판타지 e북 &gt; 신무협</v>
      </c>
    </row>
    <row r="445" spans="1:48" x14ac:dyDescent="0.4">
      <c r="A445">
        <v>2313015175</v>
      </c>
      <c r="B445">
        <v>2313015179</v>
      </c>
      <c r="C445" t="str">
        <f>T("[e북]선유문주 5권 (완결)")</f>
        <v>[e북]선유문주 5권 (완결)</v>
      </c>
      <c r="D445" t="str">
        <f>T("5")</f>
        <v>5</v>
      </c>
      <c r="E445" t="str">
        <f t="shared" si="96"/>
        <v>무장</v>
      </c>
      <c r="H445" t="str">
        <f t="shared" si="83"/>
        <v>스토리위즈</v>
      </c>
      <c r="I445" t="str">
        <f>T("[e북]선유문주")</f>
        <v>[e북]선유문주</v>
      </c>
      <c r="J445">
        <v>3200</v>
      </c>
      <c r="K445">
        <v>3200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3200</v>
      </c>
      <c r="AH445">
        <v>1</v>
      </c>
      <c r="AI445">
        <v>0</v>
      </c>
      <c r="AJ445">
        <v>0</v>
      </c>
      <c r="AK445">
        <v>3200</v>
      </c>
      <c r="AL445">
        <v>0</v>
      </c>
      <c r="AM445">
        <v>0</v>
      </c>
      <c r="AN445">
        <v>0</v>
      </c>
      <c r="AO445">
        <v>0</v>
      </c>
      <c r="AP445">
        <v>2240</v>
      </c>
      <c r="AR445" t="str">
        <f t="shared" si="98"/>
        <v>0000000000000</v>
      </c>
      <c r="AT445" t="str">
        <f>T("9791137602892")</f>
        <v>9791137602892</v>
      </c>
      <c r="AV445" t="str">
        <f t="shared" si="97"/>
        <v>판타지 e북 &gt; 신무협</v>
      </c>
    </row>
    <row r="446" spans="1:48" x14ac:dyDescent="0.4">
      <c r="A446">
        <v>2313015981</v>
      </c>
      <c r="B446">
        <v>2313015982</v>
      </c>
      <c r="C446" t="str">
        <f>T("[e북]낚싯대 하나로 세계최강 2권")</f>
        <v>[e북]낚싯대 하나로 세계최강 2권</v>
      </c>
      <c r="D446" t="str">
        <f>T("2")</f>
        <v>2</v>
      </c>
      <c r="E446" t="str">
        <f>T("단팥크림빵7")</f>
        <v>단팥크림빵7</v>
      </c>
      <c r="H446" t="str">
        <f t="shared" si="83"/>
        <v>스토리위즈</v>
      </c>
      <c r="I446" t="str">
        <f>T("[e북]낚싯대 하나로 세계최강")</f>
        <v>[e북]낚싯대 하나로 세계최강</v>
      </c>
      <c r="J446">
        <v>3200</v>
      </c>
      <c r="K446">
        <v>3200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3200</v>
      </c>
      <c r="AH446">
        <v>1</v>
      </c>
      <c r="AI446">
        <v>0</v>
      </c>
      <c r="AJ446">
        <v>0</v>
      </c>
      <c r="AK446">
        <v>3200</v>
      </c>
      <c r="AL446">
        <v>0</v>
      </c>
      <c r="AM446">
        <v>0</v>
      </c>
      <c r="AN446">
        <v>0</v>
      </c>
      <c r="AO446">
        <v>0</v>
      </c>
      <c r="AP446">
        <v>2240</v>
      </c>
      <c r="AT446" t="str">
        <f>T("9791137603332")</f>
        <v>9791137603332</v>
      </c>
      <c r="AV446" t="str">
        <f t="shared" ref="AV446:AV454" si="99">T("판타지 e북 &gt; 퓨전 판타지")</f>
        <v>판타지 e북 &gt; 퓨전 판타지</v>
      </c>
    </row>
    <row r="447" spans="1:48" x14ac:dyDescent="0.4">
      <c r="A447">
        <v>2313015981</v>
      </c>
      <c r="B447">
        <v>2313015983</v>
      </c>
      <c r="C447" t="str">
        <f>T("[e북]낚싯대 하나로 세계최강 3권")</f>
        <v>[e북]낚싯대 하나로 세계최강 3권</v>
      </c>
      <c r="D447" t="str">
        <f>T("3")</f>
        <v>3</v>
      </c>
      <c r="E447" t="str">
        <f>T("단팥크림빵7")</f>
        <v>단팥크림빵7</v>
      </c>
      <c r="H447" t="str">
        <f t="shared" si="83"/>
        <v>스토리위즈</v>
      </c>
      <c r="I447" t="str">
        <f>T("[e북]낚싯대 하나로 세계최강")</f>
        <v>[e북]낚싯대 하나로 세계최강</v>
      </c>
      <c r="J447">
        <v>3200</v>
      </c>
      <c r="K447">
        <v>3200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3200</v>
      </c>
      <c r="AH447">
        <v>1</v>
      </c>
      <c r="AI447">
        <v>0</v>
      </c>
      <c r="AJ447">
        <v>0</v>
      </c>
      <c r="AK447">
        <v>3200</v>
      </c>
      <c r="AL447">
        <v>0</v>
      </c>
      <c r="AM447">
        <v>0</v>
      </c>
      <c r="AN447">
        <v>0</v>
      </c>
      <c r="AO447">
        <v>0</v>
      </c>
      <c r="AP447">
        <v>2240</v>
      </c>
      <c r="AT447" t="str">
        <f>T("9791137603332")</f>
        <v>9791137603332</v>
      </c>
      <c r="AV447" t="str">
        <f t="shared" si="99"/>
        <v>판타지 e북 &gt; 퓨전 판타지</v>
      </c>
    </row>
    <row r="448" spans="1:48" x14ac:dyDescent="0.4">
      <c r="A448">
        <v>2313015981</v>
      </c>
      <c r="B448">
        <v>2313015984</v>
      </c>
      <c r="C448" t="str">
        <f>T("[e북]낚싯대 하나로 세계최강 4권")</f>
        <v>[e북]낚싯대 하나로 세계최강 4권</v>
      </c>
      <c r="D448" t="str">
        <f>T("4")</f>
        <v>4</v>
      </c>
      <c r="E448" t="str">
        <f>T("단팥크림빵7")</f>
        <v>단팥크림빵7</v>
      </c>
      <c r="H448" t="str">
        <f t="shared" si="83"/>
        <v>스토리위즈</v>
      </c>
      <c r="I448" t="str">
        <f>T("[e북]낚싯대 하나로 세계최강")</f>
        <v>[e북]낚싯대 하나로 세계최강</v>
      </c>
      <c r="J448">
        <v>3200</v>
      </c>
      <c r="K448">
        <v>3200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3200</v>
      </c>
      <c r="AH448">
        <v>1</v>
      </c>
      <c r="AI448">
        <v>0</v>
      </c>
      <c r="AJ448">
        <v>0</v>
      </c>
      <c r="AK448">
        <v>3200</v>
      </c>
      <c r="AL448">
        <v>0</v>
      </c>
      <c r="AM448">
        <v>0</v>
      </c>
      <c r="AN448">
        <v>0</v>
      </c>
      <c r="AO448">
        <v>0</v>
      </c>
      <c r="AP448">
        <v>2240</v>
      </c>
      <c r="AT448" t="str">
        <f>T("9791137603332")</f>
        <v>9791137603332</v>
      </c>
      <c r="AV448" t="str">
        <f t="shared" si="99"/>
        <v>판타지 e북 &gt; 퓨전 판타지</v>
      </c>
    </row>
    <row r="449" spans="1:49" x14ac:dyDescent="0.4">
      <c r="A449">
        <v>2313015981</v>
      </c>
      <c r="B449">
        <v>2313015985</v>
      </c>
      <c r="C449" t="str">
        <f>T("[e북]낚싯대 하나로 세계최강 5권")</f>
        <v>[e북]낚싯대 하나로 세계최강 5권</v>
      </c>
      <c r="D449" t="str">
        <f>T("5")</f>
        <v>5</v>
      </c>
      <c r="E449" t="str">
        <f>T("단팥크림빵7")</f>
        <v>단팥크림빵7</v>
      </c>
      <c r="H449" t="str">
        <f t="shared" si="83"/>
        <v>스토리위즈</v>
      </c>
      <c r="I449" t="str">
        <f>T("[e북]낚싯대 하나로 세계최강")</f>
        <v>[e북]낚싯대 하나로 세계최강</v>
      </c>
      <c r="J449">
        <v>3200</v>
      </c>
      <c r="K449">
        <v>3200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3200</v>
      </c>
      <c r="AH449">
        <v>1</v>
      </c>
      <c r="AI449">
        <v>0</v>
      </c>
      <c r="AJ449">
        <v>0</v>
      </c>
      <c r="AK449">
        <v>3200</v>
      </c>
      <c r="AL449">
        <v>0</v>
      </c>
      <c r="AM449">
        <v>0</v>
      </c>
      <c r="AN449">
        <v>0</v>
      </c>
      <c r="AO449">
        <v>0</v>
      </c>
      <c r="AP449">
        <v>2240</v>
      </c>
      <c r="AT449" t="str">
        <f>T("9791137603332")</f>
        <v>9791137603332</v>
      </c>
      <c r="AV449" t="str">
        <f t="shared" si="99"/>
        <v>판타지 e북 &gt; 퓨전 판타지</v>
      </c>
    </row>
    <row r="450" spans="1:49" x14ac:dyDescent="0.4">
      <c r="A450">
        <v>2313015981</v>
      </c>
      <c r="B450">
        <v>2313015986</v>
      </c>
      <c r="C450" t="str">
        <f>T("[e북]낚싯대 하나로 세계최강 6권 (완결)")</f>
        <v>[e북]낚싯대 하나로 세계최강 6권 (완결)</v>
      </c>
      <c r="D450" t="str">
        <f>T("6")</f>
        <v>6</v>
      </c>
      <c r="E450" t="str">
        <f>T("단팥크림빵7")</f>
        <v>단팥크림빵7</v>
      </c>
      <c r="H450" t="str">
        <f t="shared" si="83"/>
        <v>스토리위즈</v>
      </c>
      <c r="I450" t="str">
        <f>T("[e북]낚싯대 하나로 세계최강")</f>
        <v>[e북]낚싯대 하나로 세계최강</v>
      </c>
      <c r="J450">
        <v>3200</v>
      </c>
      <c r="K450">
        <v>3200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3200</v>
      </c>
      <c r="AH450">
        <v>1</v>
      </c>
      <c r="AI450">
        <v>0</v>
      </c>
      <c r="AJ450">
        <v>0</v>
      </c>
      <c r="AK450">
        <v>3200</v>
      </c>
      <c r="AL450">
        <v>0</v>
      </c>
      <c r="AM450">
        <v>0</v>
      </c>
      <c r="AN450">
        <v>0</v>
      </c>
      <c r="AO450">
        <v>0</v>
      </c>
      <c r="AP450">
        <v>2240</v>
      </c>
      <c r="AT450" t="str">
        <f>T("9791137603332")</f>
        <v>9791137603332</v>
      </c>
      <c r="AV450" t="str">
        <f t="shared" si="99"/>
        <v>판타지 e북 &gt; 퓨전 판타지</v>
      </c>
    </row>
    <row r="451" spans="1:49" x14ac:dyDescent="0.4">
      <c r="A451">
        <v>2313016211</v>
      </c>
      <c r="B451">
        <v>2313016213</v>
      </c>
      <c r="C451" t="str">
        <f>T("[e북]버그 걸린 드래곤 3권")</f>
        <v>[e북]버그 걸린 드래곤 3권</v>
      </c>
      <c r="D451" t="str">
        <f>T("3")</f>
        <v>3</v>
      </c>
      <c r="E451" t="str">
        <f>T("폴딩")</f>
        <v>폴딩</v>
      </c>
      <c r="H451" t="str">
        <f t="shared" si="83"/>
        <v>스토리위즈</v>
      </c>
      <c r="I451" t="str">
        <f>T("[e북]버그 걸린 드래곤")</f>
        <v>[e북]버그 걸린 드래곤</v>
      </c>
      <c r="J451">
        <v>3200</v>
      </c>
      <c r="K451">
        <v>3200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-3200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3200</v>
      </c>
      <c r="AH451">
        <v>1</v>
      </c>
      <c r="AI451">
        <v>-3200</v>
      </c>
      <c r="AJ451">
        <v>1</v>
      </c>
      <c r="AK451">
        <v>3200</v>
      </c>
      <c r="AL451">
        <v>-3200</v>
      </c>
      <c r="AM451">
        <v>0</v>
      </c>
      <c r="AN451">
        <v>0</v>
      </c>
      <c r="AO451">
        <v>0</v>
      </c>
      <c r="AP451">
        <v>0</v>
      </c>
      <c r="AR451" t="str">
        <f t="shared" ref="AR451:AR462" si="100">T("0000000000000")</f>
        <v>0000000000000</v>
      </c>
      <c r="AT451" t="str">
        <f>T("9791137603813")</f>
        <v>9791137603813</v>
      </c>
      <c r="AV451" t="str">
        <f t="shared" si="99"/>
        <v>판타지 e북 &gt; 퓨전 판타지</v>
      </c>
    </row>
    <row r="452" spans="1:49" x14ac:dyDescent="0.4">
      <c r="A452">
        <v>2313016211</v>
      </c>
      <c r="B452">
        <v>2313016214</v>
      </c>
      <c r="C452" t="str">
        <f>T("[e북]버그 걸린 드래곤 4권")</f>
        <v>[e북]버그 걸린 드래곤 4권</v>
      </c>
      <c r="D452" t="str">
        <f>T("4")</f>
        <v>4</v>
      </c>
      <c r="E452" t="str">
        <f>T("폴딩")</f>
        <v>폴딩</v>
      </c>
      <c r="H452" t="str">
        <f t="shared" si="83"/>
        <v>스토리위즈</v>
      </c>
      <c r="I452" t="str">
        <f>T("[e북]버그 걸린 드래곤")</f>
        <v>[e북]버그 걸린 드래곤</v>
      </c>
      <c r="J452">
        <v>3200</v>
      </c>
      <c r="K452">
        <v>3200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-3200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3200</v>
      </c>
      <c r="AH452">
        <v>1</v>
      </c>
      <c r="AI452">
        <v>-3200</v>
      </c>
      <c r="AJ452">
        <v>1</v>
      </c>
      <c r="AK452">
        <v>3200</v>
      </c>
      <c r="AL452">
        <v>-3200</v>
      </c>
      <c r="AM452">
        <v>0</v>
      </c>
      <c r="AN452">
        <v>0</v>
      </c>
      <c r="AO452">
        <v>0</v>
      </c>
      <c r="AP452">
        <v>0</v>
      </c>
      <c r="AR452" t="str">
        <f t="shared" si="100"/>
        <v>0000000000000</v>
      </c>
      <c r="AT452" t="str">
        <f>T("9791137603813")</f>
        <v>9791137603813</v>
      </c>
      <c r="AV452" t="str">
        <f t="shared" si="99"/>
        <v>판타지 e북 &gt; 퓨전 판타지</v>
      </c>
    </row>
    <row r="453" spans="1:49" x14ac:dyDescent="0.4">
      <c r="A453">
        <v>2313016211</v>
      </c>
      <c r="B453">
        <v>2313016215</v>
      </c>
      <c r="C453" t="str">
        <f>T("[e북]버그 걸린 드래곤 5권")</f>
        <v>[e북]버그 걸린 드래곤 5권</v>
      </c>
      <c r="D453" t="str">
        <f>T("5")</f>
        <v>5</v>
      </c>
      <c r="E453" t="str">
        <f>T("폴딩")</f>
        <v>폴딩</v>
      </c>
      <c r="H453" t="str">
        <f t="shared" si="83"/>
        <v>스토리위즈</v>
      </c>
      <c r="I453" t="str">
        <f>T("[e북]버그 걸린 드래곤")</f>
        <v>[e북]버그 걸린 드래곤</v>
      </c>
      <c r="J453">
        <v>3200</v>
      </c>
      <c r="K453">
        <v>3200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-3200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3200</v>
      </c>
      <c r="AH453">
        <v>1</v>
      </c>
      <c r="AI453">
        <v>-3200</v>
      </c>
      <c r="AJ453">
        <v>1</v>
      </c>
      <c r="AK453">
        <v>3200</v>
      </c>
      <c r="AL453">
        <v>-3200</v>
      </c>
      <c r="AM453">
        <v>0</v>
      </c>
      <c r="AN453">
        <v>0</v>
      </c>
      <c r="AO453">
        <v>0</v>
      </c>
      <c r="AP453">
        <v>0</v>
      </c>
      <c r="AR453" t="str">
        <f t="shared" si="100"/>
        <v>0000000000000</v>
      </c>
      <c r="AT453" t="str">
        <f>T("9791137603813")</f>
        <v>9791137603813</v>
      </c>
      <c r="AV453" t="str">
        <f t="shared" si="99"/>
        <v>판타지 e북 &gt; 퓨전 판타지</v>
      </c>
    </row>
    <row r="454" spans="1:49" x14ac:dyDescent="0.4">
      <c r="A454">
        <v>2313016211</v>
      </c>
      <c r="B454">
        <v>2313016216</v>
      </c>
      <c r="C454" t="str">
        <f>T("[e북]버그 걸린 드래곤 6권 (완결)")</f>
        <v>[e북]버그 걸린 드래곤 6권 (완결)</v>
      </c>
      <c r="D454" t="str">
        <f>T("6")</f>
        <v>6</v>
      </c>
      <c r="E454" t="str">
        <f>T("폴딩")</f>
        <v>폴딩</v>
      </c>
      <c r="H454" t="str">
        <f t="shared" si="83"/>
        <v>스토리위즈</v>
      </c>
      <c r="I454" t="str">
        <f>T("[e북]버그 걸린 드래곤")</f>
        <v>[e북]버그 걸린 드래곤</v>
      </c>
      <c r="J454">
        <v>3200</v>
      </c>
      <c r="K454">
        <v>3200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-3200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3200</v>
      </c>
      <c r="AH454">
        <v>1</v>
      </c>
      <c r="AI454">
        <v>-3200</v>
      </c>
      <c r="AJ454">
        <v>1</v>
      </c>
      <c r="AK454">
        <v>3200</v>
      </c>
      <c r="AL454">
        <v>-3200</v>
      </c>
      <c r="AM454">
        <v>0</v>
      </c>
      <c r="AN454">
        <v>0</v>
      </c>
      <c r="AO454">
        <v>0</v>
      </c>
      <c r="AP454">
        <v>0</v>
      </c>
      <c r="AR454" t="str">
        <f t="shared" si="100"/>
        <v>0000000000000</v>
      </c>
      <c r="AT454" t="str">
        <f>T("9791137603813")</f>
        <v>9791137603813</v>
      </c>
      <c r="AV454" t="str">
        <f t="shared" si="99"/>
        <v>판타지 e북 &gt; 퓨전 판타지</v>
      </c>
    </row>
    <row r="455" spans="1:49" x14ac:dyDescent="0.4">
      <c r="A455">
        <v>2313016817</v>
      </c>
      <c r="B455">
        <v>2313016818</v>
      </c>
      <c r="C455" t="str">
        <f>T("[e북]원코인 게이머 아포칼립스 2권")</f>
        <v>[e북]원코인 게이머 아포칼립스 2권</v>
      </c>
      <c r="D455" t="str">
        <f>T("2")</f>
        <v>2</v>
      </c>
      <c r="E455" t="str">
        <f t="shared" ref="E455:E462" si="101">T("이한애비")</f>
        <v>이한애비</v>
      </c>
      <c r="H455" t="str">
        <f t="shared" ref="H455:H462" si="102">T("스토리위즈")</f>
        <v>스토리위즈</v>
      </c>
      <c r="I455" t="str">
        <f t="shared" ref="I455:I462" si="103">T("[e북]원코인 게이머 아포칼립스")</f>
        <v>[e북]원코인 게이머 아포칼립스</v>
      </c>
      <c r="J455">
        <v>3200</v>
      </c>
      <c r="K455">
        <v>3200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3200</v>
      </c>
      <c r="AH455">
        <v>1</v>
      </c>
      <c r="AI455">
        <v>0</v>
      </c>
      <c r="AJ455">
        <v>0</v>
      </c>
      <c r="AK455">
        <v>3200</v>
      </c>
      <c r="AL455">
        <v>0</v>
      </c>
      <c r="AM455">
        <v>0</v>
      </c>
      <c r="AN455">
        <v>0</v>
      </c>
      <c r="AO455">
        <v>0</v>
      </c>
      <c r="AP455">
        <v>2240</v>
      </c>
      <c r="AR455" t="str">
        <f t="shared" si="100"/>
        <v>0000000000000</v>
      </c>
      <c r="AT455" t="str">
        <f t="shared" ref="AT455:AT462" si="104">T("9791137603998")</f>
        <v>9791137603998</v>
      </c>
      <c r="AV455" t="str">
        <f t="shared" ref="AV455:AV462" si="105">T("판타지 e북 &gt; 현대 판타지")</f>
        <v>판타지 e북 &gt; 현대 판타지</v>
      </c>
    </row>
    <row r="456" spans="1:49" x14ac:dyDescent="0.4">
      <c r="A456">
        <v>2313016817</v>
      </c>
      <c r="B456">
        <v>2313016819</v>
      </c>
      <c r="C456" t="str">
        <f>T("[e북]원코인 게이머 아포칼립스 3권")</f>
        <v>[e북]원코인 게이머 아포칼립스 3권</v>
      </c>
      <c r="D456" t="str">
        <f>T("3")</f>
        <v>3</v>
      </c>
      <c r="E456" t="str">
        <f t="shared" si="101"/>
        <v>이한애비</v>
      </c>
      <c r="H456" t="str">
        <f t="shared" si="102"/>
        <v>스토리위즈</v>
      </c>
      <c r="I456" t="str">
        <f t="shared" si="103"/>
        <v>[e북]원코인 게이머 아포칼립스</v>
      </c>
      <c r="J456">
        <v>3200</v>
      </c>
      <c r="K456">
        <v>3200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3200</v>
      </c>
      <c r="AH456">
        <v>1</v>
      </c>
      <c r="AI456">
        <v>0</v>
      </c>
      <c r="AJ456">
        <v>0</v>
      </c>
      <c r="AK456">
        <v>3200</v>
      </c>
      <c r="AL456">
        <v>0</v>
      </c>
      <c r="AM456">
        <v>0</v>
      </c>
      <c r="AN456">
        <v>0</v>
      </c>
      <c r="AO456">
        <v>0</v>
      </c>
      <c r="AP456">
        <v>2240</v>
      </c>
      <c r="AR456" t="str">
        <f t="shared" si="100"/>
        <v>0000000000000</v>
      </c>
      <c r="AT456" t="str">
        <f t="shared" si="104"/>
        <v>9791137603998</v>
      </c>
      <c r="AV456" t="str">
        <f t="shared" si="105"/>
        <v>판타지 e북 &gt; 현대 판타지</v>
      </c>
    </row>
    <row r="457" spans="1:49" x14ac:dyDescent="0.4">
      <c r="A457">
        <v>2313016817</v>
      </c>
      <c r="B457">
        <v>2313016820</v>
      </c>
      <c r="C457" t="str">
        <f>T("[e북]원코인 게이머 아포칼립스 4권")</f>
        <v>[e북]원코인 게이머 아포칼립스 4권</v>
      </c>
      <c r="D457" t="str">
        <f>T("4")</f>
        <v>4</v>
      </c>
      <c r="E457" t="str">
        <f t="shared" si="101"/>
        <v>이한애비</v>
      </c>
      <c r="H457" t="str">
        <f t="shared" si="102"/>
        <v>스토리위즈</v>
      </c>
      <c r="I457" t="str">
        <f t="shared" si="103"/>
        <v>[e북]원코인 게이머 아포칼립스</v>
      </c>
      <c r="J457">
        <v>3200</v>
      </c>
      <c r="K457">
        <v>3200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3200</v>
      </c>
      <c r="AH457">
        <v>1</v>
      </c>
      <c r="AI457">
        <v>0</v>
      </c>
      <c r="AJ457">
        <v>0</v>
      </c>
      <c r="AK457">
        <v>3200</v>
      </c>
      <c r="AL457">
        <v>0</v>
      </c>
      <c r="AM457">
        <v>0</v>
      </c>
      <c r="AN457">
        <v>0</v>
      </c>
      <c r="AO457">
        <v>0</v>
      </c>
      <c r="AP457">
        <v>2240</v>
      </c>
      <c r="AR457" t="str">
        <f t="shared" si="100"/>
        <v>0000000000000</v>
      </c>
      <c r="AT457" t="str">
        <f t="shared" si="104"/>
        <v>9791137603998</v>
      </c>
      <c r="AV457" t="str">
        <f t="shared" si="105"/>
        <v>판타지 e북 &gt; 현대 판타지</v>
      </c>
    </row>
    <row r="458" spans="1:49" x14ac:dyDescent="0.4">
      <c r="A458">
        <v>2313016817</v>
      </c>
      <c r="B458">
        <v>2313016821</v>
      </c>
      <c r="C458" t="str">
        <f>T("[e북]원코인 게이머 아포칼립스 5권")</f>
        <v>[e북]원코인 게이머 아포칼립스 5권</v>
      </c>
      <c r="D458" t="str">
        <f>T("5")</f>
        <v>5</v>
      </c>
      <c r="E458" t="str">
        <f t="shared" si="101"/>
        <v>이한애비</v>
      </c>
      <c r="H458" t="str">
        <f t="shared" si="102"/>
        <v>스토리위즈</v>
      </c>
      <c r="I458" t="str">
        <f t="shared" si="103"/>
        <v>[e북]원코인 게이머 아포칼립스</v>
      </c>
      <c r="J458">
        <v>3200</v>
      </c>
      <c r="K458">
        <v>3200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3200</v>
      </c>
      <c r="AH458">
        <v>1</v>
      </c>
      <c r="AI458">
        <v>0</v>
      </c>
      <c r="AJ458">
        <v>0</v>
      </c>
      <c r="AK458">
        <v>3200</v>
      </c>
      <c r="AL458">
        <v>0</v>
      </c>
      <c r="AM458">
        <v>0</v>
      </c>
      <c r="AN458">
        <v>0</v>
      </c>
      <c r="AO458">
        <v>0</v>
      </c>
      <c r="AP458">
        <v>2240</v>
      </c>
      <c r="AR458" t="str">
        <f t="shared" si="100"/>
        <v>0000000000000</v>
      </c>
      <c r="AT458" t="str">
        <f t="shared" si="104"/>
        <v>9791137603998</v>
      </c>
      <c r="AV458" t="str">
        <f t="shared" si="105"/>
        <v>판타지 e북 &gt; 현대 판타지</v>
      </c>
    </row>
    <row r="459" spans="1:49" x14ac:dyDescent="0.4">
      <c r="A459">
        <v>2313016817</v>
      </c>
      <c r="B459">
        <v>2313016822</v>
      </c>
      <c r="C459" t="str">
        <f>T("[e북]원코인 게이머 아포칼립스 6권")</f>
        <v>[e북]원코인 게이머 아포칼립스 6권</v>
      </c>
      <c r="D459" t="str">
        <f>T("6")</f>
        <v>6</v>
      </c>
      <c r="E459" t="str">
        <f t="shared" si="101"/>
        <v>이한애비</v>
      </c>
      <c r="H459" t="str">
        <f t="shared" si="102"/>
        <v>스토리위즈</v>
      </c>
      <c r="I459" t="str">
        <f t="shared" si="103"/>
        <v>[e북]원코인 게이머 아포칼립스</v>
      </c>
      <c r="J459">
        <v>3200</v>
      </c>
      <c r="K459">
        <v>3200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3200</v>
      </c>
      <c r="AH459">
        <v>1</v>
      </c>
      <c r="AI459">
        <v>0</v>
      </c>
      <c r="AJ459">
        <v>0</v>
      </c>
      <c r="AK459">
        <v>3200</v>
      </c>
      <c r="AL459">
        <v>0</v>
      </c>
      <c r="AM459">
        <v>0</v>
      </c>
      <c r="AN459">
        <v>0</v>
      </c>
      <c r="AO459">
        <v>0</v>
      </c>
      <c r="AP459">
        <v>2240</v>
      </c>
      <c r="AR459" t="str">
        <f t="shared" si="100"/>
        <v>0000000000000</v>
      </c>
      <c r="AT459" t="str">
        <f t="shared" si="104"/>
        <v>9791137603998</v>
      </c>
      <c r="AV459" t="str">
        <f t="shared" si="105"/>
        <v>판타지 e북 &gt; 현대 판타지</v>
      </c>
    </row>
    <row r="460" spans="1:49" x14ac:dyDescent="0.4">
      <c r="A460">
        <v>2313016817</v>
      </c>
      <c r="B460">
        <v>2313016823</v>
      </c>
      <c r="C460" t="str">
        <f>T("[e북]원코인 게이머 아포칼립스 7권")</f>
        <v>[e북]원코인 게이머 아포칼립스 7권</v>
      </c>
      <c r="D460" t="str">
        <f>T("7")</f>
        <v>7</v>
      </c>
      <c r="E460" t="str">
        <f t="shared" si="101"/>
        <v>이한애비</v>
      </c>
      <c r="H460" t="str">
        <f t="shared" si="102"/>
        <v>스토리위즈</v>
      </c>
      <c r="I460" t="str">
        <f t="shared" si="103"/>
        <v>[e북]원코인 게이머 아포칼립스</v>
      </c>
      <c r="J460">
        <v>3200</v>
      </c>
      <c r="K460">
        <v>3200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3200</v>
      </c>
      <c r="AH460">
        <v>1</v>
      </c>
      <c r="AI460">
        <v>0</v>
      </c>
      <c r="AJ460">
        <v>0</v>
      </c>
      <c r="AK460">
        <v>3200</v>
      </c>
      <c r="AL460">
        <v>0</v>
      </c>
      <c r="AM460">
        <v>0</v>
      </c>
      <c r="AN460">
        <v>0</v>
      </c>
      <c r="AO460">
        <v>0</v>
      </c>
      <c r="AP460">
        <v>2240</v>
      </c>
      <c r="AR460" t="str">
        <f t="shared" si="100"/>
        <v>0000000000000</v>
      </c>
      <c r="AT460" t="str">
        <f t="shared" si="104"/>
        <v>9791137603998</v>
      </c>
      <c r="AV460" t="str">
        <f t="shared" si="105"/>
        <v>판타지 e북 &gt; 현대 판타지</v>
      </c>
    </row>
    <row r="461" spans="1:49" x14ac:dyDescent="0.4">
      <c r="A461">
        <v>2313016817</v>
      </c>
      <c r="B461">
        <v>2313016824</v>
      </c>
      <c r="C461" t="str">
        <f>T("[e북]원코인 게이머 아포칼립스 8권")</f>
        <v>[e북]원코인 게이머 아포칼립스 8권</v>
      </c>
      <c r="D461" t="str">
        <f>T("8")</f>
        <v>8</v>
      </c>
      <c r="E461" t="str">
        <f t="shared" si="101"/>
        <v>이한애비</v>
      </c>
      <c r="H461" t="str">
        <f t="shared" si="102"/>
        <v>스토리위즈</v>
      </c>
      <c r="I461" t="str">
        <f t="shared" si="103"/>
        <v>[e북]원코인 게이머 아포칼립스</v>
      </c>
      <c r="J461">
        <v>3200</v>
      </c>
      <c r="K461">
        <v>3200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3200</v>
      </c>
      <c r="AH461">
        <v>1</v>
      </c>
      <c r="AI461">
        <v>0</v>
      </c>
      <c r="AJ461">
        <v>0</v>
      </c>
      <c r="AK461">
        <v>3200</v>
      </c>
      <c r="AL461">
        <v>0</v>
      </c>
      <c r="AM461">
        <v>0</v>
      </c>
      <c r="AN461">
        <v>0</v>
      </c>
      <c r="AO461">
        <v>0</v>
      </c>
      <c r="AP461">
        <v>2240</v>
      </c>
      <c r="AR461" t="str">
        <f t="shared" si="100"/>
        <v>0000000000000</v>
      </c>
      <c r="AT461" t="str">
        <f t="shared" si="104"/>
        <v>9791137603998</v>
      </c>
      <c r="AV461" t="str">
        <f t="shared" si="105"/>
        <v>판타지 e북 &gt; 현대 판타지</v>
      </c>
    </row>
    <row r="462" spans="1:49" x14ac:dyDescent="0.4">
      <c r="A462">
        <v>2313016817</v>
      </c>
      <c r="B462">
        <v>2313016825</v>
      </c>
      <c r="C462" t="str">
        <f>T("[e북]원코인 게이머 아포칼립스 9권 (완결)")</f>
        <v>[e북]원코인 게이머 아포칼립스 9권 (완결)</v>
      </c>
      <c r="D462" t="str">
        <f>T("9")</f>
        <v>9</v>
      </c>
      <c r="E462" t="str">
        <f t="shared" si="101"/>
        <v>이한애비</v>
      </c>
      <c r="H462" t="str">
        <f t="shared" si="102"/>
        <v>스토리위즈</v>
      </c>
      <c r="I462" t="str">
        <f t="shared" si="103"/>
        <v>[e북]원코인 게이머 아포칼립스</v>
      </c>
      <c r="J462">
        <v>3200</v>
      </c>
      <c r="K462">
        <v>3200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3200</v>
      </c>
      <c r="AH462">
        <v>1</v>
      </c>
      <c r="AI462">
        <v>0</v>
      </c>
      <c r="AJ462">
        <v>0</v>
      </c>
      <c r="AK462">
        <v>3200</v>
      </c>
      <c r="AL462">
        <v>0</v>
      </c>
      <c r="AM462">
        <v>0</v>
      </c>
      <c r="AN462">
        <v>0</v>
      </c>
      <c r="AO462">
        <v>0</v>
      </c>
      <c r="AP462">
        <v>2240</v>
      </c>
      <c r="AR462" t="str">
        <f t="shared" si="100"/>
        <v>0000000000000</v>
      </c>
      <c r="AT462" t="str">
        <f t="shared" si="104"/>
        <v>9791137603998</v>
      </c>
      <c r="AV462" t="str">
        <f t="shared" si="105"/>
        <v>판타지 e북 &gt; 현대 판타지</v>
      </c>
    </row>
    <row r="463" spans="1:49" x14ac:dyDescent="0.4">
      <c r="A463">
        <v>2313016967</v>
      </c>
      <c r="B463">
        <v>2313016965</v>
      </c>
      <c r="C463" t="str">
        <f>T("[e북]바랑둥이 내 남자 (외전증보판) 3권 (완결)")</f>
        <v>[e북]바랑둥이 내 남자 (외전증보판) 3권 (완결)</v>
      </c>
      <c r="D463" t="str">
        <f>T("3")</f>
        <v>3</v>
      </c>
      <c r="E463" t="str">
        <f>T("밈스")</f>
        <v>밈스</v>
      </c>
      <c r="H463" t="str">
        <f t="shared" ref="H463:H468" si="106">T("도서출판 태랑")</f>
        <v>도서출판 태랑</v>
      </c>
      <c r="I463" t="str">
        <f>T("[e북]바랑둥이 내 남자 (외전증보판)")</f>
        <v>[e북]바랑둥이 내 남자 (외전증보판)</v>
      </c>
      <c r="J463">
        <v>3200</v>
      </c>
      <c r="K463">
        <v>3200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3200</v>
      </c>
      <c r="AH463">
        <v>1</v>
      </c>
      <c r="AI463">
        <v>0</v>
      </c>
      <c r="AJ463">
        <v>0</v>
      </c>
      <c r="AK463">
        <v>3200</v>
      </c>
      <c r="AL463">
        <v>0</v>
      </c>
      <c r="AM463">
        <v>0</v>
      </c>
      <c r="AN463">
        <v>0</v>
      </c>
      <c r="AO463">
        <v>0</v>
      </c>
      <c r="AP463">
        <v>2240</v>
      </c>
      <c r="AT463" t="str">
        <f>T("9791164372072")</f>
        <v>9791164372072</v>
      </c>
      <c r="AV463" t="str">
        <f>T("로맨스 e북 &gt; 현대물")</f>
        <v>로맨스 e북 &gt; 현대물</v>
      </c>
      <c r="AW463" t="str">
        <f>T("로맨스 e북 &gt; 19+")</f>
        <v>로맨스 e북 &gt; 19+</v>
      </c>
    </row>
    <row r="464" spans="1:49" x14ac:dyDescent="0.4">
      <c r="A464">
        <v>2313016967</v>
      </c>
      <c r="B464">
        <v>2313016966</v>
      </c>
      <c r="C464" t="str">
        <f>T("[e북]바랑둥이 내 남자 (외전증보판) 2권")</f>
        <v>[e북]바랑둥이 내 남자 (외전증보판) 2권</v>
      </c>
      <c r="D464" t="str">
        <f>T("2")</f>
        <v>2</v>
      </c>
      <c r="E464" t="str">
        <f>T("밈스")</f>
        <v>밈스</v>
      </c>
      <c r="H464" t="str">
        <f t="shared" si="106"/>
        <v>도서출판 태랑</v>
      </c>
      <c r="I464" t="str">
        <f>T("[e북]바랑둥이 내 남자 (외전증보판)")</f>
        <v>[e북]바랑둥이 내 남자 (외전증보판)</v>
      </c>
      <c r="J464">
        <v>3200</v>
      </c>
      <c r="K464">
        <v>3200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3200</v>
      </c>
      <c r="AH464">
        <v>1</v>
      </c>
      <c r="AI464">
        <v>0</v>
      </c>
      <c r="AJ464">
        <v>0</v>
      </c>
      <c r="AK464">
        <v>3200</v>
      </c>
      <c r="AL464">
        <v>0</v>
      </c>
      <c r="AM464">
        <v>0</v>
      </c>
      <c r="AN464">
        <v>0</v>
      </c>
      <c r="AO464">
        <v>0</v>
      </c>
      <c r="AP464">
        <v>2240</v>
      </c>
      <c r="AT464" t="str">
        <f>T("9791164372065")</f>
        <v>9791164372065</v>
      </c>
      <c r="AV464" t="str">
        <f>T("로맨스 e북 &gt; 현대물")</f>
        <v>로맨스 e북 &gt; 현대물</v>
      </c>
      <c r="AW464" t="str">
        <f>T("로맨스 e북 &gt; 19+")</f>
        <v>로맨스 e북 &gt; 19+</v>
      </c>
    </row>
    <row r="465" spans="1:49" x14ac:dyDescent="0.4">
      <c r="A465">
        <v>2313016967</v>
      </c>
      <c r="B465">
        <v>2313016967</v>
      </c>
      <c r="C465" t="str">
        <f>T("[e북]바랑둥이 내 남자 (외전증보판) 1권")</f>
        <v>[e북]바랑둥이 내 남자 (외전증보판) 1권</v>
      </c>
      <c r="D465" t="str">
        <f>T("1")</f>
        <v>1</v>
      </c>
      <c r="E465" t="str">
        <f>T("밈스")</f>
        <v>밈스</v>
      </c>
      <c r="H465" t="str">
        <f t="shared" si="106"/>
        <v>도서출판 태랑</v>
      </c>
      <c r="I465" t="str">
        <f>T("[e북]바랑둥이 내 남자 (외전증보판)")</f>
        <v>[e북]바랑둥이 내 남자 (외전증보판)</v>
      </c>
      <c r="J465">
        <v>3200</v>
      </c>
      <c r="K465">
        <v>3200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3200</v>
      </c>
      <c r="AH465">
        <v>1</v>
      </c>
      <c r="AI465">
        <v>0</v>
      </c>
      <c r="AJ465">
        <v>0</v>
      </c>
      <c r="AK465">
        <v>3200</v>
      </c>
      <c r="AL465">
        <v>0</v>
      </c>
      <c r="AM465">
        <v>0</v>
      </c>
      <c r="AN465">
        <v>0</v>
      </c>
      <c r="AO465">
        <v>0</v>
      </c>
      <c r="AP465">
        <v>2240</v>
      </c>
      <c r="AT465" t="str">
        <f>T("9791164372058")</f>
        <v>9791164372058</v>
      </c>
      <c r="AV465" t="str">
        <f>T("로맨스 e북 &gt; 현대물")</f>
        <v>로맨스 e북 &gt; 현대물</v>
      </c>
      <c r="AW465" t="str">
        <f>T("로맨스 e북 &gt; 19+")</f>
        <v>로맨스 e북 &gt; 19+</v>
      </c>
    </row>
    <row r="466" spans="1:49" x14ac:dyDescent="0.4">
      <c r="A466">
        <v>2313017052</v>
      </c>
      <c r="B466">
        <v>2313017051</v>
      </c>
      <c r="C466" t="str">
        <f>T("[e북]기어이 사랑 2권 (완결)")</f>
        <v>[e북]기어이 사랑 2권 (완결)</v>
      </c>
      <c r="D466" t="str">
        <f>T("2")</f>
        <v>2</v>
      </c>
      <c r="E466" t="str">
        <f>T("차홍주")</f>
        <v>차홍주</v>
      </c>
      <c r="H466" t="str">
        <f t="shared" si="106"/>
        <v>도서출판 태랑</v>
      </c>
      <c r="I466" t="str">
        <f>T("[e북]기어이 사랑")</f>
        <v>[e북]기어이 사랑</v>
      </c>
      <c r="J466">
        <v>3200</v>
      </c>
      <c r="K466">
        <v>3200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3200</v>
      </c>
      <c r="AH466">
        <v>1</v>
      </c>
      <c r="AI466">
        <v>0</v>
      </c>
      <c r="AJ466">
        <v>0</v>
      </c>
      <c r="AK466">
        <v>3200</v>
      </c>
      <c r="AL466">
        <v>0</v>
      </c>
      <c r="AM466">
        <v>0</v>
      </c>
      <c r="AN466">
        <v>0</v>
      </c>
      <c r="AO466">
        <v>0</v>
      </c>
      <c r="AP466">
        <v>2240</v>
      </c>
      <c r="AT466" t="str">
        <f>T("9791164371105")</f>
        <v>9791164371105</v>
      </c>
      <c r="AV466" t="str">
        <f>T("로맨스 e북 &gt; 현대물")</f>
        <v>로맨스 e북 &gt; 현대물</v>
      </c>
      <c r="AW466" t="str">
        <f>T("로맨스 e북 &gt; 19+")</f>
        <v>로맨스 e북 &gt; 19+</v>
      </c>
    </row>
    <row r="467" spans="1:49" x14ac:dyDescent="0.4">
      <c r="A467">
        <v>2313017052</v>
      </c>
      <c r="B467">
        <v>2313017052</v>
      </c>
      <c r="C467" t="str">
        <f>T("[e북]기어이 사랑 1권")</f>
        <v>[e북]기어이 사랑 1권</v>
      </c>
      <c r="D467" t="str">
        <f>T("1")</f>
        <v>1</v>
      </c>
      <c r="E467" t="str">
        <f>T("차홍주")</f>
        <v>차홍주</v>
      </c>
      <c r="H467" t="str">
        <f t="shared" si="106"/>
        <v>도서출판 태랑</v>
      </c>
      <c r="I467" t="str">
        <f>T("[e북]기어이 사랑")</f>
        <v>[e북]기어이 사랑</v>
      </c>
      <c r="J467">
        <v>3200</v>
      </c>
      <c r="K467">
        <v>3200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3200</v>
      </c>
      <c r="AH467">
        <v>1</v>
      </c>
      <c r="AI467">
        <v>0</v>
      </c>
      <c r="AJ467">
        <v>0</v>
      </c>
      <c r="AK467">
        <v>3200</v>
      </c>
      <c r="AL467">
        <v>0</v>
      </c>
      <c r="AM467">
        <v>0</v>
      </c>
      <c r="AN467">
        <v>0</v>
      </c>
      <c r="AO467">
        <v>0</v>
      </c>
      <c r="AP467">
        <v>2240</v>
      </c>
      <c r="AT467" t="str">
        <f>T("9791164371099")</f>
        <v>9791164371099</v>
      </c>
      <c r="AV467" t="str">
        <f>T("로맨스 e북 &gt; 현대물")</f>
        <v>로맨스 e북 &gt; 현대물</v>
      </c>
      <c r="AW467" t="str">
        <f>T("로맨스 e북 &gt; 19+")</f>
        <v>로맨스 e북 &gt; 19+</v>
      </c>
    </row>
    <row r="468" spans="1:49" x14ac:dyDescent="0.4">
      <c r="A468">
        <v>2313017065</v>
      </c>
      <c r="B468">
        <v>2313017064</v>
      </c>
      <c r="C468" t="str">
        <f>T("[e북]로맨틱 크러시 2권 (완결)")</f>
        <v>[e북]로맨틱 크러시 2권 (완결)</v>
      </c>
      <c r="D468" t="str">
        <f>T("2")</f>
        <v>2</v>
      </c>
      <c r="E468" t="str">
        <f>T("망나니개")</f>
        <v>망나니개</v>
      </c>
      <c r="H468" t="str">
        <f t="shared" si="106"/>
        <v>도서출판 태랑</v>
      </c>
      <c r="I468" t="str">
        <f>T("[e북]로맨틱 크러시")</f>
        <v>[e북]로맨틱 크러시</v>
      </c>
      <c r="J468">
        <v>3200</v>
      </c>
      <c r="K468">
        <v>3200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3200</v>
      </c>
      <c r="AH468">
        <v>1</v>
      </c>
      <c r="AI468">
        <v>0</v>
      </c>
      <c r="AJ468">
        <v>0</v>
      </c>
      <c r="AK468">
        <v>3200</v>
      </c>
      <c r="AL468">
        <v>0</v>
      </c>
      <c r="AM468">
        <v>0</v>
      </c>
      <c r="AN468">
        <v>0</v>
      </c>
      <c r="AO468">
        <v>0</v>
      </c>
      <c r="AP468">
        <v>2240</v>
      </c>
      <c r="AT468" t="str">
        <f>T("9791164370900")</f>
        <v>9791164370900</v>
      </c>
      <c r="AV468" t="str">
        <f>T("BL 소설 e북 &gt; 판타지물")</f>
        <v>BL 소설 e북 &gt; 판타지물</v>
      </c>
    </row>
    <row r="469" spans="1:49" x14ac:dyDescent="0.4">
      <c r="A469">
        <v>2313017453</v>
      </c>
      <c r="B469">
        <v>2313017457</v>
      </c>
      <c r="C469" t="str">
        <f>T("[e북]칵테일로 레벨업 5권")</f>
        <v>[e북]칵테일로 레벨업 5권</v>
      </c>
      <c r="D469" t="str">
        <f>T("5")</f>
        <v>5</v>
      </c>
      <c r="E469" t="str">
        <f>T("서강후")</f>
        <v>서강후</v>
      </c>
      <c r="H469" t="str">
        <f t="shared" ref="H469:H474" si="107">T("스토리위즈")</f>
        <v>스토리위즈</v>
      </c>
      <c r="I469" t="str">
        <f>T("[e북]칵테일로 레벨업")</f>
        <v>[e북]칵테일로 레벨업</v>
      </c>
      <c r="J469">
        <v>3200</v>
      </c>
      <c r="K469">
        <v>3200</v>
      </c>
      <c r="L469">
        <v>1</v>
      </c>
      <c r="M469">
        <v>0</v>
      </c>
      <c r="N469">
        <v>2520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5720</v>
      </c>
      <c r="AH469">
        <v>4</v>
      </c>
      <c r="AI469">
        <v>0</v>
      </c>
      <c r="AJ469">
        <v>0</v>
      </c>
      <c r="AK469">
        <v>5720</v>
      </c>
      <c r="AL469">
        <v>0</v>
      </c>
      <c r="AM469">
        <v>0</v>
      </c>
      <c r="AN469">
        <v>0</v>
      </c>
      <c r="AO469">
        <v>0</v>
      </c>
      <c r="AP469">
        <v>4004</v>
      </c>
      <c r="AT469" t="str">
        <f>T("9791137604193")</f>
        <v>9791137604193</v>
      </c>
      <c r="AV469" t="str">
        <f>T("판타지 e북 &gt; 현대 판타지")</f>
        <v>판타지 e북 &gt; 현대 판타지</v>
      </c>
    </row>
    <row r="470" spans="1:49" x14ac:dyDescent="0.4">
      <c r="A470">
        <v>2313017648</v>
      </c>
      <c r="B470">
        <v>2313017649</v>
      </c>
      <c r="C470" t="str">
        <f>T("[e북]올마스터가 된 비전서고 2권")</f>
        <v>[e북]올마스터가 된 비전서고 2권</v>
      </c>
      <c r="D470" t="str">
        <f>T("2")</f>
        <v>2</v>
      </c>
      <c r="E470" t="str">
        <f>T("글면증")</f>
        <v>글면증</v>
      </c>
      <c r="H470" t="str">
        <f t="shared" si="107"/>
        <v>스토리위즈</v>
      </c>
      <c r="I470" t="str">
        <f>T("[e북]올마스터가 된 비전서고")</f>
        <v>[e북]올마스터가 된 비전서고</v>
      </c>
      <c r="J470">
        <v>3200</v>
      </c>
      <c r="K470">
        <v>3200</v>
      </c>
      <c r="L470">
        <v>1</v>
      </c>
      <c r="M470">
        <v>0</v>
      </c>
      <c r="N470">
        <v>56070</v>
      </c>
      <c r="O470">
        <v>64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59270</v>
      </c>
      <c r="AH470">
        <v>65</v>
      </c>
      <c r="AI470">
        <v>0</v>
      </c>
      <c r="AJ470">
        <v>0</v>
      </c>
      <c r="AK470">
        <v>59270</v>
      </c>
      <c r="AL470">
        <v>0</v>
      </c>
      <c r="AM470">
        <v>0</v>
      </c>
      <c r="AN470">
        <v>0</v>
      </c>
      <c r="AO470">
        <v>0</v>
      </c>
      <c r="AP470">
        <v>41489</v>
      </c>
      <c r="AR470" t="str">
        <f>T("0000000000000")</f>
        <v>0000000000000</v>
      </c>
      <c r="AT470" t="str">
        <f>T("9791137604308")</f>
        <v>9791137604308</v>
      </c>
      <c r="AV470" t="str">
        <f>T("판타지 e북 &gt; 퓨전 판타지")</f>
        <v>판타지 e북 &gt; 퓨전 판타지</v>
      </c>
    </row>
    <row r="471" spans="1:49" x14ac:dyDescent="0.4">
      <c r="A471">
        <v>2313017648</v>
      </c>
      <c r="B471">
        <v>2313017650</v>
      </c>
      <c r="C471" t="str">
        <f>T("[e북]올마스터가 된 비전서고 3권")</f>
        <v>[e북]올마스터가 된 비전서고 3권</v>
      </c>
      <c r="D471" t="str">
        <f>T("3")</f>
        <v>3</v>
      </c>
      <c r="E471" t="str">
        <f>T("글면증")</f>
        <v>글면증</v>
      </c>
      <c r="H471" t="str">
        <f t="shared" si="107"/>
        <v>스토리위즈</v>
      </c>
      <c r="I471" t="str">
        <f>T("[e북]올마스터가 된 비전서고")</f>
        <v>[e북]올마스터가 된 비전서고</v>
      </c>
      <c r="J471">
        <v>3200</v>
      </c>
      <c r="K471">
        <v>3200</v>
      </c>
      <c r="L471">
        <v>1</v>
      </c>
      <c r="M471">
        <v>0</v>
      </c>
      <c r="N471">
        <v>36270</v>
      </c>
      <c r="O471">
        <v>42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39470</v>
      </c>
      <c r="AH471">
        <v>43</v>
      </c>
      <c r="AI471">
        <v>0</v>
      </c>
      <c r="AJ471">
        <v>0</v>
      </c>
      <c r="AK471">
        <v>39470</v>
      </c>
      <c r="AL471">
        <v>0</v>
      </c>
      <c r="AM471">
        <v>0</v>
      </c>
      <c r="AN471">
        <v>0</v>
      </c>
      <c r="AO471">
        <v>0</v>
      </c>
      <c r="AP471">
        <v>27629</v>
      </c>
      <c r="AR471" t="str">
        <f>T("0000000000000")</f>
        <v>0000000000000</v>
      </c>
      <c r="AT471" t="str">
        <f>T("9791137604308")</f>
        <v>9791137604308</v>
      </c>
      <c r="AV471" t="str">
        <f>T("판타지 e북 &gt; 퓨전 판타지")</f>
        <v>판타지 e북 &gt; 퓨전 판타지</v>
      </c>
    </row>
    <row r="472" spans="1:49" x14ac:dyDescent="0.4">
      <c r="A472">
        <v>2313017648</v>
      </c>
      <c r="B472">
        <v>2313017651</v>
      </c>
      <c r="C472" t="str">
        <f>T("[e북]올마스터가 된 비전서고 4권")</f>
        <v>[e북]올마스터가 된 비전서고 4권</v>
      </c>
      <c r="D472" t="str">
        <f>T("4")</f>
        <v>4</v>
      </c>
      <c r="E472" t="str">
        <f>T("글면증")</f>
        <v>글면증</v>
      </c>
      <c r="H472" t="str">
        <f t="shared" si="107"/>
        <v>스토리위즈</v>
      </c>
      <c r="I472" t="str">
        <f>T("[e북]올마스터가 된 비전서고")</f>
        <v>[e북]올마스터가 된 비전서고</v>
      </c>
      <c r="J472">
        <v>3200</v>
      </c>
      <c r="K472">
        <v>3200</v>
      </c>
      <c r="L472">
        <v>1</v>
      </c>
      <c r="M472">
        <v>0</v>
      </c>
      <c r="N472">
        <v>28170</v>
      </c>
      <c r="O472">
        <v>33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31370</v>
      </c>
      <c r="AH472">
        <v>34</v>
      </c>
      <c r="AI472">
        <v>0</v>
      </c>
      <c r="AJ472">
        <v>0</v>
      </c>
      <c r="AK472">
        <v>31370</v>
      </c>
      <c r="AL472">
        <v>0</v>
      </c>
      <c r="AM472">
        <v>0</v>
      </c>
      <c r="AN472">
        <v>0</v>
      </c>
      <c r="AO472">
        <v>0</v>
      </c>
      <c r="AP472">
        <v>21959</v>
      </c>
      <c r="AR472" t="str">
        <f>T("0000000000000")</f>
        <v>0000000000000</v>
      </c>
      <c r="AT472" t="str">
        <f>T("9791137604308")</f>
        <v>9791137604308</v>
      </c>
      <c r="AV472" t="str">
        <f>T("판타지 e북 &gt; 퓨전 판타지")</f>
        <v>판타지 e북 &gt; 퓨전 판타지</v>
      </c>
    </row>
    <row r="473" spans="1:49" x14ac:dyDescent="0.4">
      <c r="A473">
        <v>2313017648</v>
      </c>
      <c r="B473">
        <v>2313017652</v>
      </c>
      <c r="C473" t="str">
        <f>T("[e북]올마스터가 된 비전서고 5권")</f>
        <v>[e북]올마스터가 된 비전서고 5권</v>
      </c>
      <c r="D473" t="str">
        <f>T("5")</f>
        <v>5</v>
      </c>
      <c r="E473" t="str">
        <f>T("글면증")</f>
        <v>글면증</v>
      </c>
      <c r="H473" t="str">
        <f t="shared" si="107"/>
        <v>스토리위즈</v>
      </c>
      <c r="I473" t="str">
        <f>T("[e북]올마스터가 된 비전서고")</f>
        <v>[e북]올마스터가 된 비전서고</v>
      </c>
      <c r="J473">
        <v>3200</v>
      </c>
      <c r="K473">
        <v>3200</v>
      </c>
      <c r="L473">
        <v>1</v>
      </c>
      <c r="M473">
        <v>0</v>
      </c>
      <c r="N473">
        <v>21870</v>
      </c>
      <c r="O473">
        <v>26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-900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25070</v>
      </c>
      <c r="AH473">
        <v>27</v>
      </c>
      <c r="AI473">
        <v>-900</v>
      </c>
      <c r="AJ473">
        <v>1</v>
      </c>
      <c r="AK473">
        <v>25070</v>
      </c>
      <c r="AL473">
        <v>-900</v>
      </c>
      <c r="AM473">
        <v>0</v>
      </c>
      <c r="AN473">
        <v>0</v>
      </c>
      <c r="AO473">
        <v>0</v>
      </c>
      <c r="AP473">
        <v>16919</v>
      </c>
      <c r="AR473" t="str">
        <f>T("0000000000000")</f>
        <v>0000000000000</v>
      </c>
      <c r="AT473" t="str">
        <f>T("9791137604308")</f>
        <v>9791137604308</v>
      </c>
      <c r="AV473" t="str">
        <f>T("판타지 e북 &gt; 퓨전 판타지")</f>
        <v>판타지 e북 &gt; 퓨전 판타지</v>
      </c>
    </row>
    <row r="474" spans="1:49" x14ac:dyDescent="0.4">
      <c r="A474">
        <v>2313017657</v>
      </c>
      <c r="B474">
        <v>2313017712</v>
      </c>
      <c r="C474" t="str">
        <f>T("회귀자의 슬기로운 복수생활 56화")</f>
        <v>회귀자의 슬기로운 복수생활 56화</v>
      </c>
      <c r="D474" t="str">
        <f>T("56")</f>
        <v>56</v>
      </c>
      <c r="E474" t="str">
        <f>T("구공")</f>
        <v>구공</v>
      </c>
      <c r="H474" t="str">
        <f t="shared" si="107"/>
        <v>스토리위즈</v>
      </c>
      <c r="I474" t="str">
        <f>T("회귀자의 슬기로운 복수생활")</f>
        <v>회귀자의 슬기로운 복수생활</v>
      </c>
      <c r="J474">
        <v>100</v>
      </c>
      <c r="K474">
        <v>3200</v>
      </c>
      <c r="L474">
        <v>32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3200</v>
      </c>
      <c r="AH474">
        <v>32</v>
      </c>
      <c r="AI474">
        <v>0</v>
      </c>
      <c r="AJ474">
        <v>0</v>
      </c>
      <c r="AK474">
        <v>3200</v>
      </c>
      <c r="AL474">
        <v>0</v>
      </c>
      <c r="AM474">
        <v>0</v>
      </c>
      <c r="AN474">
        <v>0</v>
      </c>
      <c r="AO474">
        <v>0</v>
      </c>
      <c r="AP474">
        <v>2240</v>
      </c>
      <c r="AT474" t="str">
        <f>T("9791137601710")</f>
        <v>9791137601710</v>
      </c>
      <c r="AV474" t="str">
        <f>T("판타지 웹소설 &gt; 퓨전 판타지")</f>
        <v>판타지 웹소설 &gt; 퓨전 판타지</v>
      </c>
    </row>
    <row r="475" spans="1:49" x14ac:dyDescent="0.4">
      <c r="A475">
        <v>2313017096</v>
      </c>
      <c r="B475">
        <v>2313017096</v>
      </c>
      <c r="C475" t="str">
        <f>T("[e북]욕망하다 1권")</f>
        <v>[e북]욕망하다 1권</v>
      </c>
      <c r="D475" t="str">
        <f>T("1")</f>
        <v>1</v>
      </c>
      <c r="E475" t="str">
        <f>T("라비니안느")</f>
        <v>라비니안느</v>
      </c>
      <c r="H475" t="str">
        <f>T("도서출판 태랑")</f>
        <v>도서출판 태랑</v>
      </c>
      <c r="I475" t="str">
        <f>T("[e북]욕망하다")</f>
        <v>[e북]욕망하다</v>
      </c>
      <c r="J475">
        <v>3100</v>
      </c>
      <c r="K475">
        <v>3100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3100</v>
      </c>
      <c r="AH475">
        <v>1</v>
      </c>
      <c r="AI475">
        <v>0</v>
      </c>
      <c r="AJ475">
        <v>0</v>
      </c>
      <c r="AK475">
        <v>3100</v>
      </c>
      <c r="AL475">
        <v>0</v>
      </c>
      <c r="AM475">
        <v>0</v>
      </c>
      <c r="AN475">
        <v>0</v>
      </c>
      <c r="AO475">
        <v>0</v>
      </c>
      <c r="AP475">
        <v>2170</v>
      </c>
      <c r="AT475" t="str">
        <f>T("9791189627324")</f>
        <v>9791189627324</v>
      </c>
      <c r="AV475" t="str">
        <f>T("BL 소설 e북 &gt; 현대물")</f>
        <v>BL 소설 e북 &gt; 현대물</v>
      </c>
    </row>
    <row r="476" spans="1:49" x14ac:dyDescent="0.4">
      <c r="A476">
        <v>2313017657</v>
      </c>
      <c r="B476">
        <v>2313017711</v>
      </c>
      <c r="C476" t="str">
        <f>T("회귀자의 슬기로운 복수생활 55화")</f>
        <v>회귀자의 슬기로운 복수생활 55화</v>
      </c>
      <c r="D476" t="str">
        <f>T("55")</f>
        <v>55</v>
      </c>
      <c r="E476" t="str">
        <f>T("구공")</f>
        <v>구공</v>
      </c>
      <c r="H476" t="str">
        <f>T("스토리위즈")</f>
        <v>스토리위즈</v>
      </c>
      <c r="I476" t="str">
        <f>T("회귀자의 슬기로운 복수생활")</f>
        <v>회귀자의 슬기로운 복수생활</v>
      </c>
      <c r="J476">
        <v>100</v>
      </c>
      <c r="K476">
        <v>3100</v>
      </c>
      <c r="L476">
        <v>31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3100</v>
      </c>
      <c r="AH476">
        <v>31</v>
      </c>
      <c r="AI476">
        <v>0</v>
      </c>
      <c r="AJ476">
        <v>0</v>
      </c>
      <c r="AK476">
        <v>3100</v>
      </c>
      <c r="AL476">
        <v>0</v>
      </c>
      <c r="AM476">
        <v>0</v>
      </c>
      <c r="AN476">
        <v>0</v>
      </c>
      <c r="AO476">
        <v>0</v>
      </c>
      <c r="AP476">
        <v>2170</v>
      </c>
      <c r="AT476" t="str">
        <f>T("9791137601710")</f>
        <v>9791137601710</v>
      </c>
      <c r="AV476" t="str">
        <f>T("판타지 웹소설 &gt; 퓨전 판타지")</f>
        <v>판타지 웹소설 &gt; 퓨전 판타지</v>
      </c>
    </row>
    <row r="477" spans="1:49" x14ac:dyDescent="0.4">
      <c r="A477">
        <v>2313017657</v>
      </c>
      <c r="B477">
        <v>2313017714</v>
      </c>
      <c r="C477" t="str">
        <f>T("회귀자의 슬기로운 복수생활 58화")</f>
        <v>회귀자의 슬기로운 복수생활 58화</v>
      </c>
      <c r="D477" t="str">
        <f>T("58")</f>
        <v>58</v>
      </c>
      <c r="E477" t="str">
        <f>T("구공")</f>
        <v>구공</v>
      </c>
      <c r="H477" t="str">
        <f>T("스토리위즈")</f>
        <v>스토리위즈</v>
      </c>
      <c r="I477" t="str">
        <f>T("회귀자의 슬기로운 복수생활")</f>
        <v>회귀자의 슬기로운 복수생활</v>
      </c>
      <c r="J477">
        <v>100</v>
      </c>
      <c r="K477">
        <v>3100</v>
      </c>
      <c r="L477">
        <v>31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3100</v>
      </c>
      <c r="AH477">
        <v>31</v>
      </c>
      <c r="AI477">
        <v>0</v>
      </c>
      <c r="AJ477">
        <v>0</v>
      </c>
      <c r="AK477">
        <v>3100</v>
      </c>
      <c r="AL477">
        <v>0</v>
      </c>
      <c r="AM477">
        <v>0</v>
      </c>
      <c r="AN477">
        <v>0</v>
      </c>
      <c r="AO477">
        <v>0</v>
      </c>
      <c r="AP477">
        <v>2170</v>
      </c>
      <c r="AT477" t="str">
        <f>T("9791137601710")</f>
        <v>9791137601710</v>
      </c>
      <c r="AV477" t="str">
        <f>T("판타지 웹소설 &gt; 퓨전 판타지")</f>
        <v>판타지 웹소설 &gt; 퓨전 판타지</v>
      </c>
    </row>
    <row r="478" spans="1:49" x14ac:dyDescent="0.4">
      <c r="A478">
        <v>2313007845</v>
      </c>
      <c r="B478">
        <v>2313007887</v>
      </c>
      <c r="C478" t="str">
        <f>T("간신이 나라를 살림 43화")</f>
        <v>간신이 나라를 살림 43화</v>
      </c>
      <c r="D478" t="str">
        <f>T("43")</f>
        <v>43</v>
      </c>
      <c r="E478" t="str">
        <f>T("루이세")</f>
        <v>루이세</v>
      </c>
      <c r="H478" t="str">
        <f>T("스토리위즈")</f>
        <v>스토리위즈</v>
      </c>
      <c r="I478" t="str">
        <f>T("간신이 나라를 살림")</f>
        <v>간신이 나라를 살림</v>
      </c>
      <c r="J478">
        <v>100</v>
      </c>
      <c r="K478">
        <v>3000</v>
      </c>
      <c r="L478">
        <v>30</v>
      </c>
      <c r="M478">
        <v>0</v>
      </c>
      <c r="N478">
        <v>0</v>
      </c>
      <c r="O478">
        <v>0</v>
      </c>
      <c r="P478">
        <v>209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-200</v>
      </c>
      <c r="X478">
        <v>2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3000</v>
      </c>
      <c r="AH478">
        <v>239</v>
      </c>
      <c r="AI478">
        <v>-200</v>
      </c>
      <c r="AJ478">
        <v>3</v>
      </c>
      <c r="AK478">
        <v>3000</v>
      </c>
      <c r="AL478">
        <v>-200</v>
      </c>
      <c r="AM478">
        <v>0</v>
      </c>
      <c r="AN478">
        <v>0</v>
      </c>
      <c r="AO478">
        <v>0</v>
      </c>
      <c r="AP478">
        <v>1960</v>
      </c>
      <c r="AT478" t="str">
        <f>T("9791159284663")</f>
        <v>9791159284663</v>
      </c>
      <c r="AV478" t="str">
        <f>T("판타지 웹소설 &gt; 퓨전 판타지")</f>
        <v>판타지 웹소설 &gt; 퓨전 판타지</v>
      </c>
    </row>
    <row r="479" spans="1:49" x14ac:dyDescent="0.4">
      <c r="A479">
        <v>2313015987</v>
      </c>
      <c r="B479">
        <v>2313015993</v>
      </c>
      <c r="C479" t="str">
        <f>T("[e북]돌아온 막내 영애님을 조심하세요 (외전)")</f>
        <v>[e북]돌아온 막내 영애님을 조심하세요 (외전)</v>
      </c>
      <c r="D479" t="str">
        <f>T("7")</f>
        <v>7</v>
      </c>
      <c r="E479" t="str">
        <f>T("윈델")</f>
        <v>윈델</v>
      </c>
      <c r="H479" t="str">
        <f>T("스토리위즈")</f>
        <v>스토리위즈</v>
      </c>
      <c r="I479" t="str">
        <f>T("[e북]돌아온 막내 영애님을 조심하세요")</f>
        <v>[e북]돌아온 막내 영애님을 조심하세요</v>
      </c>
      <c r="J479">
        <v>1500</v>
      </c>
      <c r="K479">
        <v>3000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3000</v>
      </c>
      <c r="AH479">
        <v>2</v>
      </c>
      <c r="AI479">
        <v>0</v>
      </c>
      <c r="AJ479">
        <v>0</v>
      </c>
      <c r="AK479">
        <v>3000</v>
      </c>
      <c r="AL479">
        <v>0</v>
      </c>
      <c r="AM479">
        <v>0</v>
      </c>
      <c r="AN479">
        <v>0</v>
      </c>
      <c r="AO479">
        <v>0</v>
      </c>
      <c r="AP479">
        <v>2100</v>
      </c>
      <c r="AT479" t="str">
        <f>T("9791137603455")</f>
        <v>9791137603455</v>
      </c>
      <c r="AV479" t="str">
        <f>T("로판 e북 &gt; 서양풍 로판")</f>
        <v>로판 e북 &gt; 서양풍 로판</v>
      </c>
    </row>
    <row r="480" spans="1:49" x14ac:dyDescent="0.4">
      <c r="A480">
        <v>2313016845</v>
      </c>
      <c r="B480">
        <v>2313016843</v>
      </c>
      <c r="C480" t="str">
        <f>T("[e북]아래층에 전남편이 산다 (외전증보판) (외전)")</f>
        <v>[e북]아래층에 전남편이 산다 (외전증보판) (외전)</v>
      </c>
      <c r="D480" t="str">
        <f>T("3")</f>
        <v>3</v>
      </c>
      <c r="E480" t="str">
        <f>T("스내치")</f>
        <v>스내치</v>
      </c>
      <c r="H480" t="str">
        <f>T("도서출판 태랑")</f>
        <v>도서출판 태랑</v>
      </c>
      <c r="I480" t="str">
        <f>T("[e북]아래층에 전남편이 산다 (외전증보판)")</f>
        <v>[e북]아래층에 전남편이 산다 (외전증보판)</v>
      </c>
      <c r="J480">
        <v>1000</v>
      </c>
      <c r="K480">
        <v>3000</v>
      </c>
      <c r="L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3000</v>
      </c>
      <c r="AH480">
        <v>3</v>
      </c>
      <c r="AI480">
        <v>0</v>
      </c>
      <c r="AJ480">
        <v>0</v>
      </c>
      <c r="AK480">
        <v>3000</v>
      </c>
      <c r="AL480">
        <v>0</v>
      </c>
      <c r="AM480">
        <v>0</v>
      </c>
      <c r="AN480">
        <v>0</v>
      </c>
      <c r="AO480">
        <v>0</v>
      </c>
      <c r="AP480">
        <v>2100</v>
      </c>
      <c r="AT480" t="str">
        <f>T("9791164374717")</f>
        <v>9791164374717</v>
      </c>
      <c r="AV480" t="str">
        <f>T("로맨스 e북 &gt; 현대물")</f>
        <v>로맨스 e북 &gt; 현대물</v>
      </c>
      <c r="AW480" t="str">
        <f>T("로맨스 e북 &gt; 19+")</f>
        <v>로맨스 e북 &gt; 19+</v>
      </c>
    </row>
    <row r="481" spans="1:48" x14ac:dyDescent="0.4">
      <c r="A481">
        <v>2313017042</v>
      </c>
      <c r="B481">
        <v>2313017041</v>
      </c>
      <c r="C481" t="str">
        <f>T("[e북]마침내, 열애 중 2권 (완결)")</f>
        <v>[e북]마침내, 열애 중 2권 (완결)</v>
      </c>
      <c r="D481" t="str">
        <f>T("2")</f>
        <v>2</v>
      </c>
      <c r="E481" t="str">
        <f>T("김사라")</f>
        <v>김사라</v>
      </c>
      <c r="H481" t="str">
        <f>T("도서출판 태랑")</f>
        <v>도서출판 태랑</v>
      </c>
      <c r="I481" t="str">
        <f>T("[e북]마침내, 열애 중")</f>
        <v>[e북]마침내, 열애 중</v>
      </c>
      <c r="J481">
        <v>3000</v>
      </c>
      <c r="K481">
        <v>3000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3000</v>
      </c>
      <c r="AH481">
        <v>1</v>
      </c>
      <c r="AI481">
        <v>0</v>
      </c>
      <c r="AJ481">
        <v>0</v>
      </c>
      <c r="AK481">
        <v>3000</v>
      </c>
      <c r="AL481">
        <v>0</v>
      </c>
      <c r="AM481">
        <v>0</v>
      </c>
      <c r="AN481">
        <v>0</v>
      </c>
      <c r="AO481">
        <v>0</v>
      </c>
      <c r="AP481">
        <v>2100</v>
      </c>
      <c r="AT481" t="str">
        <f>T("9791164371242")</f>
        <v>9791164371242</v>
      </c>
      <c r="AV481" t="str">
        <f>T("BL 소설 e북 &gt; 현대물")</f>
        <v>BL 소설 e북 &gt; 현대물</v>
      </c>
    </row>
    <row r="482" spans="1:48" x14ac:dyDescent="0.4">
      <c r="A482">
        <v>2313017042</v>
      </c>
      <c r="B482">
        <v>2313017042</v>
      </c>
      <c r="C482" t="str">
        <f>T("[e북]마침내, 열애 중 1권")</f>
        <v>[e북]마침내, 열애 중 1권</v>
      </c>
      <c r="D482" t="str">
        <f>T("1")</f>
        <v>1</v>
      </c>
      <c r="E482" t="str">
        <f>T("김사라")</f>
        <v>김사라</v>
      </c>
      <c r="H482" t="str">
        <f>T("도서출판 태랑")</f>
        <v>도서출판 태랑</v>
      </c>
      <c r="I482" t="str">
        <f>T("[e북]마침내, 열애 중")</f>
        <v>[e북]마침내, 열애 중</v>
      </c>
      <c r="J482">
        <v>3000</v>
      </c>
      <c r="K482">
        <v>3000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3000</v>
      </c>
      <c r="AH482">
        <v>1</v>
      </c>
      <c r="AI482">
        <v>0</v>
      </c>
      <c r="AJ482">
        <v>0</v>
      </c>
      <c r="AK482">
        <v>3000</v>
      </c>
      <c r="AL482">
        <v>0</v>
      </c>
      <c r="AM482">
        <v>0</v>
      </c>
      <c r="AN482">
        <v>0</v>
      </c>
      <c r="AO482">
        <v>0</v>
      </c>
      <c r="AP482">
        <v>2100</v>
      </c>
      <c r="AT482" t="str">
        <f>T("9791164371235")</f>
        <v>9791164371235</v>
      </c>
      <c r="AV482" t="str">
        <f>T("BL 소설 e북 &gt; 현대물")</f>
        <v>BL 소설 e북 &gt; 현대물</v>
      </c>
    </row>
    <row r="483" spans="1:48" x14ac:dyDescent="0.4">
      <c r="A483">
        <v>2313017070</v>
      </c>
      <c r="B483">
        <v>2313017069</v>
      </c>
      <c r="C483" t="str">
        <f>T("[e북]아이 컨택 2권 (완결)")</f>
        <v>[e북]아이 컨택 2권 (완결)</v>
      </c>
      <c r="D483" t="str">
        <f>T("2")</f>
        <v>2</v>
      </c>
      <c r="E483" t="str">
        <f>T("모리미")</f>
        <v>모리미</v>
      </c>
      <c r="H483" t="str">
        <f>T("도서출판 태랑")</f>
        <v>도서출판 태랑</v>
      </c>
      <c r="I483" t="str">
        <f>T("[e북]아이 컨택")</f>
        <v>[e북]아이 컨택</v>
      </c>
      <c r="J483">
        <v>3000</v>
      </c>
      <c r="K483">
        <v>3000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3000</v>
      </c>
      <c r="AH483">
        <v>1</v>
      </c>
      <c r="AI483">
        <v>0</v>
      </c>
      <c r="AJ483">
        <v>0</v>
      </c>
      <c r="AK483">
        <v>3000</v>
      </c>
      <c r="AL483">
        <v>0</v>
      </c>
      <c r="AM483">
        <v>0</v>
      </c>
      <c r="AN483">
        <v>0</v>
      </c>
      <c r="AO483">
        <v>0</v>
      </c>
      <c r="AP483">
        <v>2100</v>
      </c>
      <c r="AT483" t="str">
        <f>T("9791164370825")</f>
        <v>9791164370825</v>
      </c>
      <c r="AV483" t="str">
        <f>T("BL 소설 e북 &gt; 현대물")</f>
        <v>BL 소설 e북 &gt; 현대물</v>
      </c>
    </row>
    <row r="484" spans="1:48" x14ac:dyDescent="0.4">
      <c r="A484">
        <v>2313017070</v>
      </c>
      <c r="B484">
        <v>2313017070</v>
      </c>
      <c r="C484" t="str">
        <f>T("[e북]아이 컨택 1권")</f>
        <v>[e북]아이 컨택 1권</v>
      </c>
      <c r="D484" t="str">
        <f>T("1")</f>
        <v>1</v>
      </c>
      <c r="E484" t="str">
        <f>T("모리미")</f>
        <v>모리미</v>
      </c>
      <c r="H484" t="str">
        <f>T("도서출판 태랑")</f>
        <v>도서출판 태랑</v>
      </c>
      <c r="I484" t="str">
        <f>T("[e북]아이 컨택")</f>
        <v>[e북]아이 컨택</v>
      </c>
      <c r="J484">
        <v>3000</v>
      </c>
      <c r="K484">
        <v>3000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3000</v>
      </c>
      <c r="AH484">
        <v>1</v>
      </c>
      <c r="AI484">
        <v>0</v>
      </c>
      <c r="AJ484">
        <v>0</v>
      </c>
      <c r="AK484">
        <v>3000</v>
      </c>
      <c r="AL484">
        <v>0</v>
      </c>
      <c r="AM484">
        <v>0</v>
      </c>
      <c r="AN484">
        <v>0</v>
      </c>
      <c r="AO484">
        <v>0</v>
      </c>
      <c r="AP484">
        <v>2100</v>
      </c>
      <c r="AT484" t="str">
        <f>T("9791164370818")</f>
        <v>9791164370818</v>
      </c>
      <c r="AV484" t="str">
        <f>T("BL 소설 e북 &gt; 현대물")</f>
        <v>BL 소설 e북 &gt; 현대물</v>
      </c>
    </row>
    <row r="485" spans="1:48" x14ac:dyDescent="0.4">
      <c r="A485">
        <v>2313017657</v>
      </c>
      <c r="B485">
        <v>2313017709</v>
      </c>
      <c r="C485" t="str">
        <f>T("회귀자의 슬기로운 복수생활 53화")</f>
        <v>회귀자의 슬기로운 복수생활 53화</v>
      </c>
      <c r="D485" t="str">
        <f>T("53")</f>
        <v>53</v>
      </c>
      <c r="E485" t="str">
        <f>T("구공")</f>
        <v>구공</v>
      </c>
      <c r="H485" t="str">
        <f>T("스토리위즈")</f>
        <v>스토리위즈</v>
      </c>
      <c r="I485" t="str">
        <f>T("회귀자의 슬기로운 복수생활")</f>
        <v>회귀자의 슬기로운 복수생활</v>
      </c>
      <c r="J485">
        <v>100</v>
      </c>
      <c r="K485">
        <v>3000</v>
      </c>
      <c r="L485">
        <v>30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3000</v>
      </c>
      <c r="AH485">
        <v>30</v>
      </c>
      <c r="AI485">
        <v>0</v>
      </c>
      <c r="AJ485">
        <v>0</v>
      </c>
      <c r="AK485">
        <v>3000</v>
      </c>
      <c r="AL485">
        <v>0</v>
      </c>
      <c r="AM485">
        <v>0</v>
      </c>
      <c r="AN485">
        <v>0</v>
      </c>
      <c r="AO485">
        <v>0</v>
      </c>
      <c r="AP485">
        <v>2100</v>
      </c>
      <c r="AT485" t="str">
        <f>T("9791137601710")</f>
        <v>9791137601710</v>
      </c>
      <c r="AV485" t="str">
        <f>T("판타지 웹소설 &gt; 퓨전 판타지")</f>
        <v>판타지 웹소설 &gt; 퓨전 판타지</v>
      </c>
    </row>
    <row r="486" spans="1:48" x14ac:dyDescent="0.4">
      <c r="A486">
        <v>2313017657</v>
      </c>
      <c r="B486">
        <v>2313017716</v>
      </c>
      <c r="C486" t="str">
        <f>T("회귀자의 슬기로운 복수생활 60화")</f>
        <v>회귀자의 슬기로운 복수생활 60화</v>
      </c>
      <c r="D486" t="str">
        <f>T("60")</f>
        <v>60</v>
      </c>
      <c r="E486" t="str">
        <f>T("구공")</f>
        <v>구공</v>
      </c>
      <c r="H486" t="str">
        <f>T("스토리위즈")</f>
        <v>스토리위즈</v>
      </c>
      <c r="I486" t="str">
        <f>T("회귀자의 슬기로운 복수생활")</f>
        <v>회귀자의 슬기로운 복수생활</v>
      </c>
      <c r="J486">
        <v>100</v>
      </c>
      <c r="K486">
        <v>3000</v>
      </c>
      <c r="L486">
        <v>30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3000</v>
      </c>
      <c r="AH486">
        <v>30</v>
      </c>
      <c r="AI486">
        <v>0</v>
      </c>
      <c r="AJ486">
        <v>0</v>
      </c>
      <c r="AK486">
        <v>3000</v>
      </c>
      <c r="AL486">
        <v>0</v>
      </c>
      <c r="AM486">
        <v>0</v>
      </c>
      <c r="AN486">
        <v>0</v>
      </c>
      <c r="AO486">
        <v>0</v>
      </c>
      <c r="AP486">
        <v>2100</v>
      </c>
      <c r="AT486" t="str">
        <f>T("9791137601710")</f>
        <v>9791137601710</v>
      </c>
      <c r="AV486" t="str">
        <f>T("판타지 웹소설 &gt; 퓨전 판타지")</f>
        <v>판타지 웹소설 &gt; 퓨전 판타지</v>
      </c>
    </row>
    <row r="487" spans="1:48" x14ac:dyDescent="0.4">
      <c r="A487">
        <v>2313017657</v>
      </c>
      <c r="B487">
        <v>2313017717</v>
      </c>
      <c r="C487" t="str">
        <f>T("회귀자의 슬기로운 복수생활 61화")</f>
        <v>회귀자의 슬기로운 복수생활 61화</v>
      </c>
      <c r="D487" t="str">
        <f>T("61")</f>
        <v>61</v>
      </c>
      <c r="E487" t="str">
        <f>T("구공")</f>
        <v>구공</v>
      </c>
      <c r="H487" t="str">
        <f>T("스토리위즈")</f>
        <v>스토리위즈</v>
      </c>
      <c r="I487" t="str">
        <f>T("회귀자의 슬기로운 복수생활")</f>
        <v>회귀자의 슬기로운 복수생활</v>
      </c>
      <c r="J487">
        <v>100</v>
      </c>
      <c r="K487">
        <v>3000</v>
      </c>
      <c r="L487">
        <v>30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3000</v>
      </c>
      <c r="AH487">
        <v>30</v>
      </c>
      <c r="AI487">
        <v>0</v>
      </c>
      <c r="AJ487">
        <v>0</v>
      </c>
      <c r="AK487">
        <v>3000</v>
      </c>
      <c r="AL487">
        <v>0</v>
      </c>
      <c r="AM487">
        <v>0</v>
      </c>
      <c r="AN487">
        <v>0</v>
      </c>
      <c r="AO487">
        <v>0</v>
      </c>
      <c r="AP487">
        <v>2100</v>
      </c>
      <c r="AT487" t="str">
        <f>T("9791137601710")</f>
        <v>9791137601710</v>
      </c>
      <c r="AV487" t="str">
        <f>T("판타지 웹소설 &gt; 퓨전 판타지")</f>
        <v>판타지 웹소설 &gt; 퓨전 판타지</v>
      </c>
    </row>
    <row r="488" spans="1:48" x14ac:dyDescent="0.4">
      <c r="A488">
        <v>2313017657</v>
      </c>
      <c r="B488">
        <v>2313017718</v>
      </c>
      <c r="C488" t="str">
        <f>T("회귀자의 슬기로운 복수생활 62화")</f>
        <v>회귀자의 슬기로운 복수생활 62화</v>
      </c>
      <c r="D488" t="str">
        <f>T("62")</f>
        <v>62</v>
      </c>
      <c r="E488" t="str">
        <f>T("구공")</f>
        <v>구공</v>
      </c>
      <c r="H488" t="str">
        <f>T("스토리위즈")</f>
        <v>스토리위즈</v>
      </c>
      <c r="I488" t="str">
        <f>T("회귀자의 슬기로운 복수생활")</f>
        <v>회귀자의 슬기로운 복수생활</v>
      </c>
      <c r="J488">
        <v>100</v>
      </c>
      <c r="K488">
        <v>3000</v>
      </c>
      <c r="L488">
        <v>30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3000</v>
      </c>
      <c r="AH488">
        <v>30</v>
      </c>
      <c r="AI488">
        <v>0</v>
      </c>
      <c r="AJ488">
        <v>0</v>
      </c>
      <c r="AK488">
        <v>3000</v>
      </c>
      <c r="AL488">
        <v>0</v>
      </c>
      <c r="AM488">
        <v>0</v>
      </c>
      <c r="AN488">
        <v>0</v>
      </c>
      <c r="AO488">
        <v>0</v>
      </c>
      <c r="AP488">
        <v>2100</v>
      </c>
      <c r="AT488" t="str">
        <f>T("9791137601710")</f>
        <v>9791137601710</v>
      </c>
      <c r="AV488" t="str">
        <f>T("판타지 웹소설 &gt; 퓨전 판타지")</f>
        <v>판타지 웹소설 &gt; 퓨전 판타지</v>
      </c>
    </row>
    <row r="489" spans="1:48" x14ac:dyDescent="0.4">
      <c r="A489">
        <v>2313007845</v>
      </c>
      <c r="B489">
        <v>2313007885</v>
      </c>
      <c r="C489" t="str">
        <f>T("간신이 나라를 살림 41화")</f>
        <v>간신이 나라를 살림 41화</v>
      </c>
      <c r="D489" t="str">
        <f>T("41")</f>
        <v>41</v>
      </c>
      <c r="E489" t="str">
        <f>T("루이세")</f>
        <v>루이세</v>
      </c>
      <c r="H489" t="str">
        <f>T("스토리위즈")</f>
        <v>스토리위즈</v>
      </c>
      <c r="I489" t="str">
        <f>T("간신이 나라를 살림")</f>
        <v>간신이 나라를 살림</v>
      </c>
      <c r="J489">
        <v>100</v>
      </c>
      <c r="K489">
        <v>2900</v>
      </c>
      <c r="L489">
        <v>29</v>
      </c>
      <c r="M489">
        <v>0</v>
      </c>
      <c r="N489">
        <v>0</v>
      </c>
      <c r="O489">
        <v>0</v>
      </c>
      <c r="P489">
        <v>205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2900</v>
      </c>
      <c r="AH489">
        <v>234</v>
      </c>
      <c r="AI489">
        <v>0</v>
      </c>
      <c r="AJ489">
        <v>1</v>
      </c>
      <c r="AK489">
        <v>2900</v>
      </c>
      <c r="AL489">
        <v>0</v>
      </c>
      <c r="AM489">
        <v>0</v>
      </c>
      <c r="AN489">
        <v>0</v>
      </c>
      <c r="AO489">
        <v>0</v>
      </c>
      <c r="AP489">
        <v>2030</v>
      </c>
      <c r="AT489" t="str">
        <f>T("9791159284663")</f>
        <v>9791159284663</v>
      </c>
      <c r="AV489" t="str">
        <f>T("판타지 웹소설 &gt; 퓨전 판타지")</f>
        <v>판타지 웹소설 &gt; 퓨전 판타지</v>
      </c>
    </row>
    <row r="490" spans="1:48" x14ac:dyDescent="0.4">
      <c r="A490">
        <v>2313017050</v>
      </c>
      <c r="B490">
        <v>2313017049</v>
      </c>
      <c r="C490" t="str">
        <f>T("[e북]사라족의 간택 (삽화본) 2권 (완결)")</f>
        <v>[e북]사라족의 간택 (삽화본) 2권 (완결)</v>
      </c>
      <c r="D490" t="str">
        <f>T("2")</f>
        <v>2</v>
      </c>
      <c r="E490" t="str">
        <f>T("모리미")</f>
        <v>모리미</v>
      </c>
      <c r="H490" t="str">
        <f>T("도서출판 태랑")</f>
        <v>도서출판 태랑</v>
      </c>
      <c r="I490" t="str">
        <f>T("[e북]사라족의 간택 (삽화본)")</f>
        <v>[e북]사라족의 간택 (삽화본)</v>
      </c>
      <c r="J490">
        <v>2900</v>
      </c>
      <c r="K490">
        <v>2900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2900</v>
      </c>
      <c r="AH490">
        <v>1</v>
      </c>
      <c r="AI490">
        <v>0</v>
      </c>
      <c r="AJ490">
        <v>0</v>
      </c>
      <c r="AK490">
        <v>2900</v>
      </c>
      <c r="AL490">
        <v>0</v>
      </c>
      <c r="AM490">
        <v>0</v>
      </c>
      <c r="AN490">
        <v>0</v>
      </c>
      <c r="AO490">
        <v>0</v>
      </c>
      <c r="AP490">
        <v>2030</v>
      </c>
      <c r="AT490" t="str">
        <f>T("9791164371143")</f>
        <v>9791164371143</v>
      </c>
      <c r="AV490" t="str">
        <f>T("BL 소설 e북 &gt; 현대물")</f>
        <v>BL 소설 e북 &gt; 현대물</v>
      </c>
    </row>
    <row r="491" spans="1:48" x14ac:dyDescent="0.4">
      <c r="A491">
        <v>2313017050</v>
      </c>
      <c r="B491">
        <v>2313017050</v>
      </c>
      <c r="C491" t="str">
        <f>T("[e북]사라족의 간택 (삽화본) 1권")</f>
        <v>[e북]사라족의 간택 (삽화본) 1권</v>
      </c>
      <c r="D491" t="str">
        <f>T("1")</f>
        <v>1</v>
      </c>
      <c r="E491" t="str">
        <f>T("모리미")</f>
        <v>모리미</v>
      </c>
      <c r="H491" t="str">
        <f>T("도서출판 태랑")</f>
        <v>도서출판 태랑</v>
      </c>
      <c r="I491" t="str">
        <f>T("[e북]사라족의 간택 (삽화본)")</f>
        <v>[e북]사라족의 간택 (삽화본)</v>
      </c>
      <c r="J491">
        <v>2900</v>
      </c>
      <c r="K491">
        <v>2900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2900</v>
      </c>
      <c r="AH491">
        <v>1</v>
      </c>
      <c r="AI491">
        <v>0</v>
      </c>
      <c r="AJ491">
        <v>0</v>
      </c>
      <c r="AK491">
        <v>2900</v>
      </c>
      <c r="AL491">
        <v>0</v>
      </c>
      <c r="AM491">
        <v>0</v>
      </c>
      <c r="AN491">
        <v>0</v>
      </c>
      <c r="AO491">
        <v>0</v>
      </c>
      <c r="AP491">
        <v>2030</v>
      </c>
      <c r="AT491" t="str">
        <f>T("9791164371136")</f>
        <v>9791164371136</v>
      </c>
      <c r="AV491" t="str">
        <f>T("BL 소설 e북 &gt; 현대물")</f>
        <v>BL 소설 e북 &gt; 현대물</v>
      </c>
    </row>
    <row r="492" spans="1:48" x14ac:dyDescent="0.4">
      <c r="A492">
        <v>2313017657</v>
      </c>
      <c r="B492">
        <v>2313017715</v>
      </c>
      <c r="C492" t="str">
        <f>T("회귀자의 슬기로운 복수생활 59화")</f>
        <v>회귀자의 슬기로운 복수생활 59화</v>
      </c>
      <c r="D492" t="str">
        <f>T("59")</f>
        <v>59</v>
      </c>
      <c r="E492" t="str">
        <f>T("구공")</f>
        <v>구공</v>
      </c>
      <c r="H492" t="str">
        <f>T("스토리위즈")</f>
        <v>스토리위즈</v>
      </c>
      <c r="I492" t="str">
        <f>T("회귀자의 슬기로운 복수생활")</f>
        <v>회귀자의 슬기로운 복수생활</v>
      </c>
      <c r="J492">
        <v>100</v>
      </c>
      <c r="K492">
        <v>2900</v>
      </c>
      <c r="L492">
        <v>29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2900</v>
      </c>
      <c r="AH492">
        <v>29</v>
      </c>
      <c r="AI492">
        <v>0</v>
      </c>
      <c r="AJ492">
        <v>0</v>
      </c>
      <c r="AK492">
        <v>2900</v>
      </c>
      <c r="AL492">
        <v>0</v>
      </c>
      <c r="AM492">
        <v>0</v>
      </c>
      <c r="AN492">
        <v>0</v>
      </c>
      <c r="AO492">
        <v>0</v>
      </c>
      <c r="AP492">
        <v>2030</v>
      </c>
      <c r="AT492" t="str">
        <f>T("9791137601710")</f>
        <v>9791137601710</v>
      </c>
      <c r="AV492" t="str">
        <f>T("판타지 웹소설 &gt; 퓨전 판타지")</f>
        <v>판타지 웹소설 &gt; 퓨전 판타지</v>
      </c>
    </row>
    <row r="493" spans="1:48" x14ac:dyDescent="0.4">
      <c r="A493">
        <v>2313007845</v>
      </c>
      <c r="B493">
        <v>2313007884</v>
      </c>
      <c r="C493" t="str">
        <f>T("간신이 나라를 살림 40화")</f>
        <v>간신이 나라를 살림 40화</v>
      </c>
      <c r="D493" t="str">
        <f>T("40")</f>
        <v>40</v>
      </c>
      <c r="E493" t="str">
        <f>T("루이세")</f>
        <v>루이세</v>
      </c>
      <c r="H493" t="str">
        <f>T("스토리위즈")</f>
        <v>스토리위즈</v>
      </c>
      <c r="I493" t="str">
        <f>T("간신이 나라를 살림")</f>
        <v>간신이 나라를 살림</v>
      </c>
      <c r="J493">
        <v>100</v>
      </c>
      <c r="K493">
        <v>2800</v>
      </c>
      <c r="L493">
        <v>28</v>
      </c>
      <c r="M493">
        <v>0</v>
      </c>
      <c r="N493">
        <v>0</v>
      </c>
      <c r="O493">
        <v>0</v>
      </c>
      <c r="P493">
        <v>197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-100</v>
      </c>
      <c r="X493">
        <v>1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2800</v>
      </c>
      <c r="AH493">
        <v>225</v>
      </c>
      <c r="AI493">
        <v>-100</v>
      </c>
      <c r="AJ493">
        <v>2</v>
      </c>
      <c r="AK493">
        <v>2800</v>
      </c>
      <c r="AL493">
        <v>-100</v>
      </c>
      <c r="AM493">
        <v>0</v>
      </c>
      <c r="AN493">
        <v>0</v>
      </c>
      <c r="AO493">
        <v>0</v>
      </c>
      <c r="AP493">
        <v>1890</v>
      </c>
      <c r="AT493" t="str">
        <f>T("9791159284663")</f>
        <v>9791159284663</v>
      </c>
      <c r="AV493" t="str">
        <f>T("판타지 웹소설 &gt; 퓨전 판타지")</f>
        <v>판타지 웹소설 &gt; 퓨전 판타지</v>
      </c>
    </row>
    <row r="494" spans="1:48" x14ac:dyDescent="0.4">
      <c r="A494">
        <v>2313016983</v>
      </c>
      <c r="B494">
        <v>2313016982</v>
      </c>
      <c r="C494" t="str">
        <f>T("[e북]들이대지 마 2권 (완결)")</f>
        <v>[e북]들이대지 마 2권 (완결)</v>
      </c>
      <c r="D494" t="str">
        <f>T("2")</f>
        <v>2</v>
      </c>
      <c r="E494" t="str">
        <f>T("모리미")</f>
        <v>모리미</v>
      </c>
      <c r="H494" t="str">
        <f>T("도서출판 태랑")</f>
        <v>도서출판 태랑</v>
      </c>
      <c r="I494" t="str">
        <f>T("[e북]들이대지 마")</f>
        <v>[e북]들이대지 마</v>
      </c>
      <c r="J494">
        <v>2800</v>
      </c>
      <c r="K494">
        <v>2800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2800</v>
      </c>
      <c r="AH494">
        <v>1</v>
      </c>
      <c r="AI494">
        <v>0</v>
      </c>
      <c r="AJ494">
        <v>0</v>
      </c>
      <c r="AK494">
        <v>2800</v>
      </c>
      <c r="AL494">
        <v>0</v>
      </c>
      <c r="AM494">
        <v>0</v>
      </c>
      <c r="AN494">
        <v>0</v>
      </c>
      <c r="AO494">
        <v>0</v>
      </c>
      <c r="AP494">
        <v>1960</v>
      </c>
      <c r="AT494" t="str">
        <f>T("9791164372522")</f>
        <v>9791164372522</v>
      </c>
      <c r="AV494" t="str">
        <f>T("BL 소설 e북 &gt; 현대물")</f>
        <v>BL 소설 e북 &gt; 현대물</v>
      </c>
    </row>
    <row r="495" spans="1:48" x14ac:dyDescent="0.4">
      <c r="A495">
        <v>2313016983</v>
      </c>
      <c r="B495">
        <v>2313016983</v>
      </c>
      <c r="C495" t="str">
        <f>T("[e북]들이대지 마 1권")</f>
        <v>[e북]들이대지 마 1권</v>
      </c>
      <c r="D495" t="str">
        <f>T("1")</f>
        <v>1</v>
      </c>
      <c r="E495" t="str">
        <f>T("모리미")</f>
        <v>모리미</v>
      </c>
      <c r="H495" t="str">
        <f>T("도서출판 태랑")</f>
        <v>도서출판 태랑</v>
      </c>
      <c r="I495" t="str">
        <f>T("[e북]들이대지 마")</f>
        <v>[e북]들이대지 마</v>
      </c>
      <c r="J495">
        <v>2800</v>
      </c>
      <c r="K495">
        <v>2800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2800</v>
      </c>
      <c r="AH495">
        <v>1</v>
      </c>
      <c r="AI495">
        <v>0</v>
      </c>
      <c r="AJ495">
        <v>0</v>
      </c>
      <c r="AK495">
        <v>2800</v>
      </c>
      <c r="AL495">
        <v>0</v>
      </c>
      <c r="AM495">
        <v>0</v>
      </c>
      <c r="AN495">
        <v>0</v>
      </c>
      <c r="AO495">
        <v>0</v>
      </c>
      <c r="AP495">
        <v>1960</v>
      </c>
      <c r="AT495" t="str">
        <f>T("9791164372515")</f>
        <v>9791164372515</v>
      </c>
      <c r="AV495" t="str">
        <f>T("BL 소설 e북 &gt; 현대물")</f>
        <v>BL 소설 e북 &gt; 현대물</v>
      </c>
    </row>
    <row r="496" spans="1:48" x14ac:dyDescent="0.4">
      <c r="A496">
        <v>2313007845</v>
      </c>
      <c r="B496">
        <v>2313007871</v>
      </c>
      <c r="C496" t="str">
        <f>T("간신이 나라를 살림 27화")</f>
        <v>간신이 나라를 살림 27화</v>
      </c>
      <c r="D496" t="str">
        <f>T("27")</f>
        <v>27</v>
      </c>
      <c r="E496" t="str">
        <f>T("루이세")</f>
        <v>루이세</v>
      </c>
      <c r="H496" t="str">
        <f t="shared" ref="H496:H504" si="108">T("스토리위즈")</f>
        <v>스토리위즈</v>
      </c>
      <c r="I496" t="str">
        <f>T("간신이 나라를 살림")</f>
        <v>간신이 나라를 살림</v>
      </c>
      <c r="J496">
        <v>100</v>
      </c>
      <c r="K496">
        <v>2700</v>
      </c>
      <c r="L496">
        <v>27</v>
      </c>
      <c r="M496">
        <v>0</v>
      </c>
      <c r="N496">
        <v>0</v>
      </c>
      <c r="O496">
        <v>0</v>
      </c>
      <c r="P496">
        <v>192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-300</v>
      </c>
      <c r="X496">
        <v>3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2700</v>
      </c>
      <c r="AH496">
        <v>219</v>
      </c>
      <c r="AI496">
        <v>-300</v>
      </c>
      <c r="AJ496">
        <v>4</v>
      </c>
      <c r="AK496">
        <v>2700</v>
      </c>
      <c r="AL496">
        <v>-300</v>
      </c>
      <c r="AM496">
        <v>0</v>
      </c>
      <c r="AN496">
        <v>0</v>
      </c>
      <c r="AO496">
        <v>0</v>
      </c>
      <c r="AP496">
        <v>1680</v>
      </c>
      <c r="AT496" t="str">
        <f>T("9791159284663")</f>
        <v>9791159284663</v>
      </c>
      <c r="AV496" t="str">
        <f>T("판타지 웹소설 &gt; 퓨전 판타지")</f>
        <v>판타지 웹소설 &gt; 퓨전 판타지</v>
      </c>
    </row>
    <row r="497" spans="1:49" x14ac:dyDescent="0.4">
      <c r="A497">
        <v>2313007845</v>
      </c>
      <c r="B497">
        <v>2313007877</v>
      </c>
      <c r="C497" t="str">
        <f>T("간신이 나라를 살림 33화")</f>
        <v>간신이 나라를 살림 33화</v>
      </c>
      <c r="D497" t="str">
        <f>T("33")</f>
        <v>33</v>
      </c>
      <c r="E497" t="str">
        <f>T("루이세")</f>
        <v>루이세</v>
      </c>
      <c r="H497" t="str">
        <f t="shared" si="108"/>
        <v>스토리위즈</v>
      </c>
      <c r="I497" t="str">
        <f>T("간신이 나라를 살림")</f>
        <v>간신이 나라를 살림</v>
      </c>
      <c r="J497">
        <v>100</v>
      </c>
      <c r="K497">
        <v>2700</v>
      </c>
      <c r="L497">
        <v>27</v>
      </c>
      <c r="M497">
        <v>0</v>
      </c>
      <c r="N497">
        <v>0</v>
      </c>
      <c r="O497">
        <v>0</v>
      </c>
      <c r="P497">
        <v>187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-100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2700</v>
      </c>
      <c r="AH497">
        <v>214</v>
      </c>
      <c r="AI497">
        <v>-100</v>
      </c>
      <c r="AJ497">
        <v>2</v>
      </c>
      <c r="AK497">
        <v>2700</v>
      </c>
      <c r="AL497">
        <v>-100</v>
      </c>
      <c r="AM497">
        <v>0</v>
      </c>
      <c r="AN497">
        <v>0</v>
      </c>
      <c r="AO497">
        <v>0</v>
      </c>
      <c r="AP497">
        <v>1820</v>
      </c>
      <c r="AT497" t="str">
        <f>T("9791159284663")</f>
        <v>9791159284663</v>
      </c>
      <c r="AV497" t="str">
        <f>T("판타지 웹소설 &gt; 퓨전 판타지")</f>
        <v>판타지 웹소설 &gt; 퓨전 판타지</v>
      </c>
    </row>
    <row r="498" spans="1:49" x14ac:dyDescent="0.4">
      <c r="A498">
        <v>2313007845</v>
      </c>
      <c r="B498">
        <v>2313007882</v>
      </c>
      <c r="C498" t="str">
        <f>T("간신이 나라를 살림 38화")</f>
        <v>간신이 나라를 살림 38화</v>
      </c>
      <c r="D498" t="str">
        <f>T("38")</f>
        <v>38</v>
      </c>
      <c r="E498" t="str">
        <f>T("루이세")</f>
        <v>루이세</v>
      </c>
      <c r="H498" t="str">
        <f t="shared" si="108"/>
        <v>스토리위즈</v>
      </c>
      <c r="I498" t="str">
        <f>T("간신이 나라를 살림")</f>
        <v>간신이 나라를 살림</v>
      </c>
      <c r="J498">
        <v>100</v>
      </c>
      <c r="K498">
        <v>2700</v>
      </c>
      <c r="L498">
        <v>27</v>
      </c>
      <c r="M498">
        <v>0</v>
      </c>
      <c r="N498">
        <v>0</v>
      </c>
      <c r="O498">
        <v>0</v>
      </c>
      <c r="P498">
        <v>189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-200</v>
      </c>
      <c r="X498">
        <v>2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2700</v>
      </c>
      <c r="AH498">
        <v>216</v>
      </c>
      <c r="AI498">
        <v>-200</v>
      </c>
      <c r="AJ498">
        <v>3</v>
      </c>
      <c r="AK498">
        <v>2700</v>
      </c>
      <c r="AL498">
        <v>-200</v>
      </c>
      <c r="AM498">
        <v>0</v>
      </c>
      <c r="AN498">
        <v>0</v>
      </c>
      <c r="AO498">
        <v>0</v>
      </c>
      <c r="AP498">
        <v>1750</v>
      </c>
      <c r="AT498" t="str">
        <f>T("9791159284663")</f>
        <v>9791159284663</v>
      </c>
      <c r="AV498" t="str">
        <f>T("판타지 웹소설 &gt; 퓨전 판타지")</f>
        <v>판타지 웹소설 &gt; 퓨전 판타지</v>
      </c>
    </row>
    <row r="499" spans="1:49" x14ac:dyDescent="0.4">
      <c r="A499">
        <v>2313010562</v>
      </c>
      <c r="B499">
        <v>2313010562</v>
      </c>
      <c r="C499" t="str">
        <f>T("[e북]내일은 이혼해요 1권")</f>
        <v>[e북]내일은 이혼해요 1권</v>
      </c>
      <c r="D499" t="str">
        <f>T("1")</f>
        <v>1</v>
      </c>
      <c r="E499" t="str">
        <f>T("윤비밀")</f>
        <v>윤비밀</v>
      </c>
      <c r="H499" t="str">
        <f t="shared" si="108"/>
        <v>스토리위즈</v>
      </c>
      <c r="I499" t="str">
        <f>T("[e북]내일은 이혼해요")</f>
        <v>[e북]내일은 이혼해요</v>
      </c>
      <c r="J499">
        <v>3000</v>
      </c>
      <c r="K499">
        <v>2700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2700</v>
      </c>
      <c r="AH499">
        <v>1</v>
      </c>
      <c r="AI499">
        <v>0</v>
      </c>
      <c r="AJ499">
        <v>0</v>
      </c>
      <c r="AK499">
        <v>2700</v>
      </c>
      <c r="AL499">
        <v>0</v>
      </c>
      <c r="AM499">
        <v>0</v>
      </c>
      <c r="AN499">
        <v>0</v>
      </c>
      <c r="AO499">
        <v>0</v>
      </c>
      <c r="AP499">
        <v>1890</v>
      </c>
      <c r="AR499" t="str">
        <f>T("0000000000000")</f>
        <v>0000000000000</v>
      </c>
      <c r="AT499" t="str">
        <f>T("9791166065095")</f>
        <v>9791166065095</v>
      </c>
      <c r="AV499" t="str">
        <f>T("로맨스 e북 &gt; 현대물")</f>
        <v>로맨스 e북 &gt; 현대물</v>
      </c>
    </row>
    <row r="500" spans="1:49" x14ac:dyDescent="0.4">
      <c r="A500">
        <v>2313010562</v>
      </c>
      <c r="B500">
        <v>2313010563</v>
      </c>
      <c r="C500" t="str">
        <f>T("[e북]내일은 이혼해요 2권")</f>
        <v>[e북]내일은 이혼해요 2권</v>
      </c>
      <c r="D500" t="str">
        <f>T("2")</f>
        <v>2</v>
      </c>
      <c r="E500" t="str">
        <f>T("윤비밀")</f>
        <v>윤비밀</v>
      </c>
      <c r="H500" t="str">
        <f t="shared" si="108"/>
        <v>스토리위즈</v>
      </c>
      <c r="I500" t="str">
        <f>T("[e북]내일은 이혼해요")</f>
        <v>[e북]내일은 이혼해요</v>
      </c>
      <c r="J500">
        <v>3000</v>
      </c>
      <c r="K500">
        <v>2700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2700</v>
      </c>
      <c r="AH500">
        <v>1</v>
      </c>
      <c r="AI500">
        <v>0</v>
      </c>
      <c r="AJ500">
        <v>0</v>
      </c>
      <c r="AK500">
        <v>2700</v>
      </c>
      <c r="AL500">
        <v>0</v>
      </c>
      <c r="AM500">
        <v>0</v>
      </c>
      <c r="AN500">
        <v>0</v>
      </c>
      <c r="AO500">
        <v>0</v>
      </c>
      <c r="AP500">
        <v>1890</v>
      </c>
      <c r="AR500" t="str">
        <f>T("0000000000000")</f>
        <v>0000000000000</v>
      </c>
      <c r="AT500" t="str">
        <f>T("9791166065101")</f>
        <v>9791166065101</v>
      </c>
      <c r="AV500" t="str">
        <f>T("로맨스 e북 &gt; 현대물")</f>
        <v>로맨스 e북 &gt; 현대물</v>
      </c>
    </row>
    <row r="501" spans="1:49" x14ac:dyDescent="0.4">
      <c r="A501">
        <v>2313010562</v>
      </c>
      <c r="B501">
        <v>2313010564</v>
      </c>
      <c r="C501" t="str">
        <f>T("[e북]내일은 이혼해요 3권 (완결)")</f>
        <v>[e북]내일은 이혼해요 3권 (완결)</v>
      </c>
      <c r="D501" t="str">
        <f>T("3")</f>
        <v>3</v>
      </c>
      <c r="E501" t="str">
        <f>T("윤비밀")</f>
        <v>윤비밀</v>
      </c>
      <c r="H501" t="str">
        <f t="shared" si="108"/>
        <v>스토리위즈</v>
      </c>
      <c r="I501" t="str">
        <f>T("[e북]내일은 이혼해요")</f>
        <v>[e북]내일은 이혼해요</v>
      </c>
      <c r="J501">
        <v>3000</v>
      </c>
      <c r="K501">
        <v>2700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2700</v>
      </c>
      <c r="AH501">
        <v>1</v>
      </c>
      <c r="AI501">
        <v>0</v>
      </c>
      <c r="AJ501">
        <v>0</v>
      </c>
      <c r="AK501">
        <v>2700</v>
      </c>
      <c r="AL501">
        <v>0</v>
      </c>
      <c r="AM501">
        <v>0</v>
      </c>
      <c r="AN501">
        <v>0</v>
      </c>
      <c r="AO501">
        <v>0</v>
      </c>
      <c r="AP501">
        <v>1890</v>
      </c>
      <c r="AR501" t="str">
        <f>T("0000000000000")</f>
        <v>0000000000000</v>
      </c>
      <c r="AT501" t="str">
        <f>T("9791166065118")</f>
        <v>9791166065118</v>
      </c>
      <c r="AV501" t="str">
        <f>T("로맨스 e북 &gt; 현대물")</f>
        <v>로맨스 e북 &gt; 현대물</v>
      </c>
    </row>
    <row r="502" spans="1:49" x14ac:dyDescent="0.4">
      <c r="A502">
        <v>2313017657</v>
      </c>
      <c r="B502">
        <v>2313017719</v>
      </c>
      <c r="C502" t="str">
        <f>T("회귀자의 슬기로운 복수생활 63화")</f>
        <v>회귀자의 슬기로운 복수생활 63화</v>
      </c>
      <c r="D502" t="str">
        <f>T("63")</f>
        <v>63</v>
      </c>
      <c r="E502" t="str">
        <f>T("구공")</f>
        <v>구공</v>
      </c>
      <c r="H502" t="str">
        <f t="shared" si="108"/>
        <v>스토리위즈</v>
      </c>
      <c r="I502" t="str">
        <f>T("회귀자의 슬기로운 복수생활")</f>
        <v>회귀자의 슬기로운 복수생활</v>
      </c>
      <c r="J502">
        <v>100</v>
      </c>
      <c r="K502">
        <v>2700</v>
      </c>
      <c r="L502">
        <v>27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2700</v>
      </c>
      <c r="AH502">
        <v>27</v>
      </c>
      <c r="AI502">
        <v>0</v>
      </c>
      <c r="AJ502">
        <v>0</v>
      </c>
      <c r="AK502">
        <v>2700</v>
      </c>
      <c r="AL502">
        <v>0</v>
      </c>
      <c r="AM502">
        <v>0</v>
      </c>
      <c r="AN502">
        <v>0</v>
      </c>
      <c r="AO502">
        <v>0</v>
      </c>
      <c r="AP502">
        <v>1890</v>
      </c>
      <c r="AT502" t="str">
        <f>T("9791137601710")</f>
        <v>9791137601710</v>
      </c>
      <c r="AV502" t="str">
        <f>T("판타지 웹소설 &gt; 퓨전 판타지")</f>
        <v>판타지 웹소설 &gt; 퓨전 판타지</v>
      </c>
    </row>
    <row r="503" spans="1:49" x14ac:dyDescent="0.4">
      <c r="A503">
        <v>2313007845</v>
      </c>
      <c r="B503">
        <v>2313007875</v>
      </c>
      <c r="C503" t="str">
        <f>T("간신이 나라를 살림 31화")</f>
        <v>간신이 나라를 살림 31화</v>
      </c>
      <c r="D503" t="str">
        <f>T("31")</f>
        <v>31</v>
      </c>
      <c r="E503" t="str">
        <f>T("루이세")</f>
        <v>루이세</v>
      </c>
      <c r="H503" t="str">
        <f t="shared" si="108"/>
        <v>스토리위즈</v>
      </c>
      <c r="I503" t="str">
        <f>T("간신이 나라를 살림")</f>
        <v>간신이 나라를 살림</v>
      </c>
      <c r="J503">
        <v>100</v>
      </c>
      <c r="K503">
        <v>2600</v>
      </c>
      <c r="L503">
        <v>26</v>
      </c>
      <c r="M503">
        <v>0</v>
      </c>
      <c r="N503">
        <v>0</v>
      </c>
      <c r="O503">
        <v>0</v>
      </c>
      <c r="P503">
        <v>184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-100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2600</v>
      </c>
      <c r="AH503">
        <v>210</v>
      </c>
      <c r="AI503">
        <v>-100</v>
      </c>
      <c r="AJ503">
        <v>2</v>
      </c>
      <c r="AK503">
        <v>2600</v>
      </c>
      <c r="AL503">
        <v>-100</v>
      </c>
      <c r="AM503">
        <v>0</v>
      </c>
      <c r="AN503">
        <v>0</v>
      </c>
      <c r="AO503">
        <v>0</v>
      </c>
      <c r="AP503">
        <v>1750</v>
      </c>
      <c r="AT503" t="str">
        <f>T("9791159284663")</f>
        <v>9791159284663</v>
      </c>
      <c r="AV503" t="str">
        <f>T("판타지 웹소설 &gt; 퓨전 판타지")</f>
        <v>판타지 웹소설 &gt; 퓨전 판타지</v>
      </c>
    </row>
    <row r="504" spans="1:49" x14ac:dyDescent="0.4">
      <c r="A504">
        <v>2313007845</v>
      </c>
      <c r="B504">
        <v>2313007883</v>
      </c>
      <c r="C504" t="str">
        <f>T("간신이 나라를 살림 39화")</f>
        <v>간신이 나라를 살림 39화</v>
      </c>
      <c r="D504" t="str">
        <f>T("39")</f>
        <v>39</v>
      </c>
      <c r="E504" t="str">
        <f>T("루이세")</f>
        <v>루이세</v>
      </c>
      <c r="H504" t="str">
        <f t="shared" si="108"/>
        <v>스토리위즈</v>
      </c>
      <c r="I504" t="str">
        <f>T("간신이 나라를 살림")</f>
        <v>간신이 나라를 살림</v>
      </c>
      <c r="J504">
        <v>100</v>
      </c>
      <c r="K504">
        <v>2600</v>
      </c>
      <c r="L504">
        <v>26</v>
      </c>
      <c r="M504">
        <v>0</v>
      </c>
      <c r="N504">
        <v>0</v>
      </c>
      <c r="O504">
        <v>0</v>
      </c>
      <c r="P504">
        <v>188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-100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2600</v>
      </c>
      <c r="AH504">
        <v>214</v>
      </c>
      <c r="AI504">
        <v>-100</v>
      </c>
      <c r="AJ504">
        <v>2</v>
      </c>
      <c r="AK504">
        <v>2600</v>
      </c>
      <c r="AL504">
        <v>-100</v>
      </c>
      <c r="AM504">
        <v>0</v>
      </c>
      <c r="AN504">
        <v>0</v>
      </c>
      <c r="AO504">
        <v>0</v>
      </c>
      <c r="AP504">
        <v>1750</v>
      </c>
      <c r="AT504" t="str">
        <f>T("9791159284663")</f>
        <v>9791159284663</v>
      </c>
      <c r="AV504" t="str">
        <f>T("판타지 웹소설 &gt; 퓨전 판타지")</f>
        <v>판타지 웹소설 &gt; 퓨전 판타지</v>
      </c>
    </row>
    <row r="505" spans="1:49" x14ac:dyDescent="0.4">
      <c r="A505">
        <v>2313017141</v>
      </c>
      <c r="B505">
        <v>2313017137</v>
      </c>
      <c r="C505" t="str">
        <f>T("[e북]환영합니다 마이클 본부장님 5권")</f>
        <v>[e북]환영합니다 마이클 본부장님 5권</v>
      </c>
      <c r="D505" t="str">
        <f>T("5")</f>
        <v>5</v>
      </c>
      <c r="E505" t="str">
        <f>T("퍼리딩딩")</f>
        <v>퍼리딩딩</v>
      </c>
      <c r="H505" t="str">
        <f>T("도서출판 태랑")</f>
        <v>도서출판 태랑</v>
      </c>
      <c r="I505" t="str">
        <f>T("[e북]환영합니다 마이클 본부장님")</f>
        <v>[e북]환영합니다 마이클 본부장님</v>
      </c>
      <c r="J505">
        <v>2600</v>
      </c>
      <c r="K505">
        <v>2600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2600</v>
      </c>
      <c r="AH505">
        <v>1</v>
      </c>
      <c r="AI505">
        <v>0</v>
      </c>
      <c r="AJ505">
        <v>0</v>
      </c>
      <c r="AK505">
        <v>2600</v>
      </c>
      <c r="AL505">
        <v>0</v>
      </c>
      <c r="AM505">
        <v>0</v>
      </c>
      <c r="AN505">
        <v>0</v>
      </c>
      <c r="AO505">
        <v>0</v>
      </c>
      <c r="AP505">
        <v>1820</v>
      </c>
      <c r="AT505" t="str">
        <f>T("9791189084899")</f>
        <v>9791189084899</v>
      </c>
      <c r="AV505" t="str">
        <f>T("BL 소설 e북 &gt; 현대물")</f>
        <v>BL 소설 e북 &gt; 현대물</v>
      </c>
    </row>
    <row r="506" spans="1:49" x14ac:dyDescent="0.4">
      <c r="A506">
        <v>2313017141</v>
      </c>
      <c r="B506">
        <v>2313017140</v>
      </c>
      <c r="C506" t="str">
        <f>T("[e북]환영합니다 마이클 본부장님 2권")</f>
        <v>[e북]환영합니다 마이클 본부장님 2권</v>
      </c>
      <c r="D506" t="str">
        <f>T("2")</f>
        <v>2</v>
      </c>
      <c r="E506" t="str">
        <f>T("퍼리딩딩")</f>
        <v>퍼리딩딩</v>
      </c>
      <c r="H506" t="str">
        <f>T("도서출판 태랑")</f>
        <v>도서출판 태랑</v>
      </c>
      <c r="I506" t="str">
        <f>T("[e북]환영합니다 마이클 본부장님")</f>
        <v>[e북]환영합니다 마이클 본부장님</v>
      </c>
      <c r="J506">
        <v>2600</v>
      </c>
      <c r="K506">
        <v>2600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2600</v>
      </c>
      <c r="AH506">
        <v>1</v>
      </c>
      <c r="AI506">
        <v>0</v>
      </c>
      <c r="AJ506">
        <v>0</v>
      </c>
      <c r="AK506">
        <v>2600</v>
      </c>
      <c r="AL506">
        <v>0</v>
      </c>
      <c r="AM506">
        <v>0</v>
      </c>
      <c r="AN506">
        <v>0</v>
      </c>
      <c r="AO506">
        <v>0</v>
      </c>
      <c r="AP506">
        <v>1820</v>
      </c>
      <c r="AT506" t="str">
        <f>T("9791189084868")</f>
        <v>9791189084868</v>
      </c>
      <c r="AV506" t="str">
        <f>T("BL 소설 e북 &gt; 현대물")</f>
        <v>BL 소설 e북 &gt; 현대물</v>
      </c>
    </row>
    <row r="507" spans="1:49" x14ac:dyDescent="0.4">
      <c r="A507">
        <v>2313017141</v>
      </c>
      <c r="B507">
        <v>2313017141</v>
      </c>
      <c r="C507" t="str">
        <f>T("[e북]환영합니다 마이클 본부장님 1권")</f>
        <v>[e북]환영합니다 마이클 본부장님 1권</v>
      </c>
      <c r="D507" t="str">
        <f>T("1")</f>
        <v>1</v>
      </c>
      <c r="E507" t="str">
        <f>T("퍼리딩딩")</f>
        <v>퍼리딩딩</v>
      </c>
      <c r="H507" t="str">
        <f>T("도서출판 태랑")</f>
        <v>도서출판 태랑</v>
      </c>
      <c r="I507" t="str">
        <f>T("[e북]환영합니다 마이클 본부장님")</f>
        <v>[e북]환영합니다 마이클 본부장님</v>
      </c>
      <c r="J507">
        <v>2600</v>
      </c>
      <c r="K507">
        <v>2600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2600</v>
      </c>
      <c r="AH507">
        <v>1</v>
      </c>
      <c r="AI507">
        <v>0</v>
      </c>
      <c r="AJ507">
        <v>0</v>
      </c>
      <c r="AK507">
        <v>2600</v>
      </c>
      <c r="AL507">
        <v>0</v>
      </c>
      <c r="AM507">
        <v>0</v>
      </c>
      <c r="AN507">
        <v>0</v>
      </c>
      <c r="AO507">
        <v>0</v>
      </c>
      <c r="AP507">
        <v>1820</v>
      </c>
      <c r="AT507" t="str">
        <f>T("9791189084851")</f>
        <v>9791189084851</v>
      </c>
      <c r="AV507" t="str">
        <f>T("BL 소설 e북 &gt; 현대물")</f>
        <v>BL 소설 e북 &gt; 현대물</v>
      </c>
    </row>
    <row r="508" spans="1:49" x14ac:dyDescent="0.4">
      <c r="A508">
        <v>2313017657</v>
      </c>
      <c r="B508">
        <v>2313017720</v>
      </c>
      <c r="C508" t="str">
        <f>T("회귀자의 슬기로운 복수생활 64화")</f>
        <v>회귀자의 슬기로운 복수생활 64화</v>
      </c>
      <c r="D508" t="str">
        <f>T("64")</f>
        <v>64</v>
      </c>
      <c r="E508" t="str">
        <f>T("구공")</f>
        <v>구공</v>
      </c>
      <c r="H508" t="str">
        <f>T("스토리위즈")</f>
        <v>스토리위즈</v>
      </c>
      <c r="I508" t="str">
        <f>T("회귀자의 슬기로운 복수생활")</f>
        <v>회귀자의 슬기로운 복수생활</v>
      </c>
      <c r="J508">
        <v>100</v>
      </c>
      <c r="K508">
        <v>2600</v>
      </c>
      <c r="L508">
        <v>26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2600</v>
      </c>
      <c r="AH508">
        <v>26</v>
      </c>
      <c r="AI508">
        <v>0</v>
      </c>
      <c r="AJ508">
        <v>0</v>
      </c>
      <c r="AK508">
        <v>2600</v>
      </c>
      <c r="AL508">
        <v>0</v>
      </c>
      <c r="AM508">
        <v>0</v>
      </c>
      <c r="AN508">
        <v>0</v>
      </c>
      <c r="AO508">
        <v>0</v>
      </c>
      <c r="AP508">
        <v>1820</v>
      </c>
      <c r="AT508" t="str">
        <f>T("9791137601710")</f>
        <v>9791137601710</v>
      </c>
      <c r="AV508" t="str">
        <f>T("판타지 웹소설 &gt; 퓨전 판타지")</f>
        <v>판타지 웹소설 &gt; 퓨전 판타지</v>
      </c>
    </row>
    <row r="509" spans="1:49" x14ac:dyDescent="0.4">
      <c r="A509">
        <v>2313007845</v>
      </c>
      <c r="B509">
        <v>2313007881</v>
      </c>
      <c r="C509" t="str">
        <f>T("간신이 나라를 살림 37화")</f>
        <v>간신이 나라를 살림 37화</v>
      </c>
      <c r="D509" t="str">
        <f>T("37")</f>
        <v>37</v>
      </c>
      <c r="E509" t="str">
        <f>T("루이세")</f>
        <v>루이세</v>
      </c>
      <c r="H509" t="str">
        <f>T("스토리위즈")</f>
        <v>스토리위즈</v>
      </c>
      <c r="I509" t="str">
        <f>T("간신이 나라를 살림")</f>
        <v>간신이 나라를 살림</v>
      </c>
      <c r="J509">
        <v>100</v>
      </c>
      <c r="K509">
        <v>2500</v>
      </c>
      <c r="L509">
        <v>25</v>
      </c>
      <c r="M509">
        <v>0</v>
      </c>
      <c r="N509">
        <v>0</v>
      </c>
      <c r="O509">
        <v>0</v>
      </c>
      <c r="P509">
        <v>187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-100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2500</v>
      </c>
      <c r="AH509">
        <v>212</v>
      </c>
      <c r="AI509">
        <v>-100</v>
      </c>
      <c r="AJ509">
        <v>2</v>
      </c>
      <c r="AK509">
        <v>2500</v>
      </c>
      <c r="AL509">
        <v>-100</v>
      </c>
      <c r="AM509">
        <v>0</v>
      </c>
      <c r="AN509">
        <v>0</v>
      </c>
      <c r="AO509">
        <v>0</v>
      </c>
      <c r="AP509">
        <v>1680</v>
      </c>
      <c r="AT509" t="str">
        <f>T("9791159284663")</f>
        <v>9791159284663</v>
      </c>
      <c r="AV509" t="str">
        <f>T("판타지 웹소설 &gt; 퓨전 판타지")</f>
        <v>판타지 웹소설 &gt; 퓨전 판타지</v>
      </c>
    </row>
    <row r="510" spans="1:49" x14ac:dyDescent="0.4">
      <c r="A510">
        <v>2313016904</v>
      </c>
      <c r="B510">
        <v>2313016903</v>
      </c>
      <c r="C510" t="str">
        <f>T("[e북]야릇한 그놈 (외전증보판) 2권")</f>
        <v>[e북]야릇한 그놈 (외전증보판) 2권</v>
      </c>
      <c r="D510" t="str">
        <f>T("2")</f>
        <v>2</v>
      </c>
      <c r="E510" t="str">
        <f>T("해달화영")</f>
        <v>해달화영</v>
      </c>
      <c r="H510" t="str">
        <f>T("도서출판 태랑")</f>
        <v>도서출판 태랑</v>
      </c>
      <c r="I510" t="str">
        <f>T("[e북]야릇한 그놈 (외전증보판)")</f>
        <v>[e북]야릇한 그놈 (외전증보판)</v>
      </c>
      <c r="J510">
        <v>2500</v>
      </c>
      <c r="K510">
        <v>2500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2500</v>
      </c>
      <c r="AH510">
        <v>1</v>
      </c>
      <c r="AI510">
        <v>0</v>
      </c>
      <c r="AJ510">
        <v>0</v>
      </c>
      <c r="AK510">
        <v>2500</v>
      </c>
      <c r="AL510">
        <v>0</v>
      </c>
      <c r="AM510">
        <v>0</v>
      </c>
      <c r="AN510">
        <v>0</v>
      </c>
      <c r="AO510">
        <v>0</v>
      </c>
      <c r="AP510">
        <v>1750</v>
      </c>
      <c r="AT510" t="str">
        <f>T("9791164373666")</f>
        <v>9791164373666</v>
      </c>
      <c r="AV510" t="str">
        <f>T("로맨스 e북 &gt; 현대물")</f>
        <v>로맨스 e북 &gt; 현대물</v>
      </c>
    </row>
    <row r="511" spans="1:49" x14ac:dyDescent="0.4">
      <c r="A511">
        <v>2313016904</v>
      </c>
      <c r="B511">
        <v>2313016904</v>
      </c>
      <c r="C511" t="str">
        <f>T("[e북]야릇한 그놈 (외전증보판) 1권")</f>
        <v>[e북]야릇한 그놈 (외전증보판) 1권</v>
      </c>
      <c r="D511" t="str">
        <f>T("1")</f>
        <v>1</v>
      </c>
      <c r="E511" t="str">
        <f>T("해달화영")</f>
        <v>해달화영</v>
      </c>
      <c r="H511" t="str">
        <f>T("도서출판 태랑")</f>
        <v>도서출판 태랑</v>
      </c>
      <c r="I511" t="str">
        <f>T("[e북]야릇한 그놈 (외전증보판)")</f>
        <v>[e북]야릇한 그놈 (외전증보판)</v>
      </c>
      <c r="J511">
        <v>2500</v>
      </c>
      <c r="K511">
        <v>2500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2500</v>
      </c>
      <c r="AH511">
        <v>1</v>
      </c>
      <c r="AI511">
        <v>0</v>
      </c>
      <c r="AJ511">
        <v>0</v>
      </c>
      <c r="AK511">
        <v>2500</v>
      </c>
      <c r="AL511">
        <v>0</v>
      </c>
      <c r="AM511">
        <v>0</v>
      </c>
      <c r="AN511">
        <v>0</v>
      </c>
      <c r="AO511">
        <v>0</v>
      </c>
      <c r="AP511">
        <v>1750</v>
      </c>
      <c r="AT511" t="str">
        <f>T("9791164373659")</f>
        <v>9791164373659</v>
      </c>
      <c r="AV511" t="str">
        <f>T("로맨스 e북 &gt; 현대물")</f>
        <v>로맨스 e북 &gt; 현대물</v>
      </c>
    </row>
    <row r="512" spans="1:49" x14ac:dyDescent="0.4">
      <c r="B512">
        <v>2313016921</v>
      </c>
      <c r="C512" t="str">
        <f>T("[e북]우리 (외전증보 개정판)")</f>
        <v>[e북]우리 (외전증보 개정판)</v>
      </c>
      <c r="E512" t="str">
        <f>T("블랙커피")</f>
        <v>블랙커피</v>
      </c>
      <c r="H512" t="str">
        <f>T("도서출판 태랑")</f>
        <v>도서출판 태랑</v>
      </c>
      <c r="J512">
        <v>2500</v>
      </c>
      <c r="K512">
        <v>2500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2500</v>
      </c>
      <c r="AH512">
        <v>1</v>
      </c>
      <c r="AI512">
        <v>0</v>
      </c>
      <c r="AJ512">
        <v>0</v>
      </c>
      <c r="AK512">
        <v>2500</v>
      </c>
      <c r="AL512">
        <v>0</v>
      </c>
      <c r="AM512">
        <v>0</v>
      </c>
      <c r="AN512">
        <v>0</v>
      </c>
      <c r="AO512">
        <v>0</v>
      </c>
      <c r="AP512">
        <v>1750</v>
      </c>
      <c r="AT512" t="str">
        <f>T("9791164370313")</f>
        <v>9791164370313</v>
      </c>
      <c r="AV512" t="str">
        <f>T("로맨스 e북 &gt; 현대물")</f>
        <v>로맨스 e북 &gt; 현대물</v>
      </c>
      <c r="AW512" t="str">
        <f>T("로맨스 e북 &gt; 19+")</f>
        <v>로맨스 e북 &gt; 19+</v>
      </c>
    </row>
    <row r="513" spans="1:48" x14ac:dyDescent="0.4">
      <c r="A513">
        <v>2313016946</v>
      </c>
      <c r="B513">
        <v>2313016944</v>
      </c>
      <c r="C513" t="str">
        <f>T("[e북]더 라스트 웨어울프 (외전)")</f>
        <v>[e북]더 라스트 웨어울프 (외전)</v>
      </c>
      <c r="D513" t="str">
        <f>T("3")</f>
        <v>3</v>
      </c>
      <c r="E513" t="str">
        <f>T("블 루 스 카 이")</f>
        <v>블 루 스 카 이</v>
      </c>
      <c r="H513" t="str">
        <f>T("도서출판 태랑")</f>
        <v>도서출판 태랑</v>
      </c>
      <c r="I513" t="str">
        <f>T("[e북]더 라스트 웨어울프")</f>
        <v>[e북]더 라스트 웨어울프</v>
      </c>
      <c r="J513">
        <v>2500</v>
      </c>
      <c r="K513">
        <v>2500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2500</v>
      </c>
      <c r="AH513">
        <v>1</v>
      </c>
      <c r="AI513">
        <v>0</v>
      </c>
      <c r="AJ513">
        <v>0</v>
      </c>
      <c r="AK513">
        <v>2500</v>
      </c>
      <c r="AL513">
        <v>0</v>
      </c>
      <c r="AM513">
        <v>0</v>
      </c>
      <c r="AN513">
        <v>0</v>
      </c>
      <c r="AO513">
        <v>0</v>
      </c>
      <c r="AP513">
        <v>1750</v>
      </c>
      <c r="AT513" t="str">
        <f>T("9791164372942")</f>
        <v>9791164372942</v>
      </c>
      <c r="AV513" t="str">
        <f>T("로맨스 e북 &gt; 현대물")</f>
        <v>로맨스 e북 &gt; 현대물</v>
      </c>
    </row>
    <row r="514" spans="1:48" x14ac:dyDescent="0.4">
      <c r="A514">
        <v>2313007845</v>
      </c>
      <c r="B514">
        <v>2313007874</v>
      </c>
      <c r="C514" t="str">
        <f>T("간신이 나라를 살림 30화")</f>
        <v>간신이 나라를 살림 30화</v>
      </c>
      <c r="D514" t="str">
        <f>T("30")</f>
        <v>30</v>
      </c>
      <c r="E514" t="str">
        <f>T("루이세")</f>
        <v>루이세</v>
      </c>
      <c r="H514" t="str">
        <f t="shared" ref="H514:H577" si="109">T("스토리위즈")</f>
        <v>스토리위즈</v>
      </c>
      <c r="I514" t="str">
        <f>T("간신이 나라를 살림")</f>
        <v>간신이 나라를 살림</v>
      </c>
      <c r="J514">
        <v>100</v>
      </c>
      <c r="K514">
        <v>2400</v>
      </c>
      <c r="L514">
        <v>24</v>
      </c>
      <c r="M514">
        <v>0</v>
      </c>
      <c r="N514">
        <v>0</v>
      </c>
      <c r="O514">
        <v>0</v>
      </c>
      <c r="P514">
        <v>188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2400</v>
      </c>
      <c r="AH514">
        <v>212</v>
      </c>
      <c r="AI514">
        <v>0</v>
      </c>
      <c r="AJ514">
        <v>1</v>
      </c>
      <c r="AK514">
        <v>2400</v>
      </c>
      <c r="AL514">
        <v>0</v>
      </c>
      <c r="AM514">
        <v>0</v>
      </c>
      <c r="AN514">
        <v>0</v>
      </c>
      <c r="AO514">
        <v>0</v>
      </c>
      <c r="AP514">
        <v>1680</v>
      </c>
      <c r="AT514" t="str">
        <f>T("9791159284663")</f>
        <v>9791159284663</v>
      </c>
      <c r="AV514" t="str">
        <f>T("판타지 웹소설 &gt; 퓨전 판타지")</f>
        <v>판타지 웹소설 &gt; 퓨전 판타지</v>
      </c>
    </row>
    <row r="515" spans="1:48" x14ac:dyDescent="0.4">
      <c r="A515">
        <v>2313007845</v>
      </c>
      <c r="B515">
        <v>2313007878</v>
      </c>
      <c r="C515" t="str">
        <f>T("간신이 나라를 살림 34화")</f>
        <v>간신이 나라를 살림 34화</v>
      </c>
      <c r="D515" t="str">
        <f>T("34")</f>
        <v>34</v>
      </c>
      <c r="E515" t="str">
        <f>T("루이세")</f>
        <v>루이세</v>
      </c>
      <c r="H515" t="str">
        <f t="shared" si="109"/>
        <v>스토리위즈</v>
      </c>
      <c r="I515" t="str">
        <f>T("간신이 나라를 살림")</f>
        <v>간신이 나라를 살림</v>
      </c>
      <c r="J515">
        <v>100</v>
      </c>
      <c r="K515">
        <v>2400</v>
      </c>
      <c r="L515">
        <v>24</v>
      </c>
      <c r="M515">
        <v>0</v>
      </c>
      <c r="N515">
        <v>0</v>
      </c>
      <c r="O515">
        <v>0</v>
      </c>
      <c r="P515">
        <v>188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2400</v>
      </c>
      <c r="AH515">
        <v>212</v>
      </c>
      <c r="AI515">
        <v>0</v>
      </c>
      <c r="AJ515">
        <v>1</v>
      </c>
      <c r="AK515">
        <v>2400</v>
      </c>
      <c r="AL515">
        <v>0</v>
      </c>
      <c r="AM515">
        <v>0</v>
      </c>
      <c r="AN515">
        <v>0</v>
      </c>
      <c r="AO515">
        <v>0</v>
      </c>
      <c r="AP515">
        <v>1680</v>
      </c>
      <c r="AT515" t="str">
        <f>T("9791159284663")</f>
        <v>9791159284663</v>
      </c>
      <c r="AV515" t="str">
        <f>T("판타지 웹소설 &gt; 퓨전 판타지")</f>
        <v>판타지 웹소설 &gt; 퓨전 판타지</v>
      </c>
    </row>
    <row r="516" spans="1:48" x14ac:dyDescent="0.4">
      <c r="A516">
        <v>2313011931</v>
      </c>
      <c r="B516">
        <v>2313011931</v>
      </c>
      <c r="C516" t="str">
        <f>T("[e북]공작가의 남루한 신부 1권")</f>
        <v>[e북]공작가의 남루한 신부 1권</v>
      </c>
      <c r="D516" t="str">
        <f>T("1")</f>
        <v>1</v>
      </c>
      <c r="E516" t="str">
        <f>T("무성매직")</f>
        <v>무성매직</v>
      </c>
      <c r="H516" t="str">
        <f t="shared" si="109"/>
        <v>스토리위즈</v>
      </c>
      <c r="I516" t="str">
        <f>T("[e북]공작가의 남루한 신부")</f>
        <v>[e북]공작가의 남루한 신부</v>
      </c>
      <c r="J516">
        <v>2400</v>
      </c>
      <c r="K516">
        <v>2400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2400</v>
      </c>
      <c r="AH516">
        <v>1</v>
      </c>
      <c r="AI516">
        <v>0</v>
      </c>
      <c r="AJ516">
        <v>0</v>
      </c>
      <c r="AK516">
        <v>2400</v>
      </c>
      <c r="AL516">
        <v>0</v>
      </c>
      <c r="AM516">
        <v>0</v>
      </c>
      <c r="AN516">
        <v>0</v>
      </c>
      <c r="AO516">
        <v>0</v>
      </c>
      <c r="AP516">
        <v>1680</v>
      </c>
      <c r="AT516" t="str">
        <f>T("9791137600751")</f>
        <v>9791137600751</v>
      </c>
      <c r="AV516" t="str">
        <f>T("로판 e북 &gt; 서양풍 로판")</f>
        <v>로판 e북 &gt; 서양풍 로판</v>
      </c>
    </row>
    <row r="517" spans="1:48" x14ac:dyDescent="0.4">
      <c r="A517">
        <v>2313011931</v>
      </c>
      <c r="B517">
        <v>2313011932</v>
      </c>
      <c r="C517" t="str">
        <f>T("[e북]공작가의 남루한 신부 2권")</f>
        <v>[e북]공작가의 남루한 신부 2권</v>
      </c>
      <c r="D517" t="str">
        <f>T("2")</f>
        <v>2</v>
      </c>
      <c r="E517" t="str">
        <f>T("무성매직")</f>
        <v>무성매직</v>
      </c>
      <c r="H517" t="str">
        <f t="shared" si="109"/>
        <v>스토리위즈</v>
      </c>
      <c r="I517" t="str">
        <f>T("[e북]공작가의 남루한 신부")</f>
        <v>[e북]공작가의 남루한 신부</v>
      </c>
      <c r="J517">
        <v>2400</v>
      </c>
      <c r="K517">
        <v>2400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2400</v>
      </c>
      <c r="AH517">
        <v>1</v>
      </c>
      <c r="AI517">
        <v>0</v>
      </c>
      <c r="AJ517">
        <v>0</v>
      </c>
      <c r="AK517">
        <v>2400</v>
      </c>
      <c r="AL517">
        <v>0</v>
      </c>
      <c r="AM517">
        <v>0</v>
      </c>
      <c r="AN517">
        <v>0</v>
      </c>
      <c r="AO517">
        <v>0</v>
      </c>
      <c r="AP517">
        <v>1680</v>
      </c>
      <c r="AT517" t="str">
        <f>T("9791137600768")</f>
        <v>9791137600768</v>
      </c>
      <c r="AV517" t="str">
        <f>T("로판 e북 &gt; 서양풍 로판")</f>
        <v>로판 e북 &gt; 서양풍 로판</v>
      </c>
    </row>
    <row r="518" spans="1:48" x14ac:dyDescent="0.4">
      <c r="A518">
        <v>2313011931</v>
      </c>
      <c r="B518">
        <v>2313011933</v>
      </c>
      <c r="C518" t="str">
        <f>T("[e북]공작가의 남루한 신부 3권")</f>
        <v>[e북]공작가의 남루한 신부 3권</v>
      </c>
      <c r="D518" t="str">
        <f>T("3")</f>
        <v>3</v>
      </c>
      <c r="E518" t="str">
        <f>T("무성매직")</f>
        <v>무성매직</v>
      </c>
      <c r="H518" t="str">
        <f t="shared" si="109"/>
        <v>스토리위즈</v>
      </c>
      <c r="I518" t="str">
        <f>T("[e북]공작가의 남루한 신부")</f>
        <v>[e북]공작가의 남루한 신부</v>
      </c>
      <c r="J518">
        <v>2400</v>
      </c>
      <c r="K518">
        <v>2400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2400</v>
      </c>
      <c r="AH518">
        <v>1</v>
      </c>
      <c r="AI518">
        <v>0</v>
      </c>
      <c r="AJ518">
        <v>0</v>
      </c>
      <c r="AK518">
        <v>2400</v>
      </c>
      <c r="AL518">
        <v>0</v>
      </c>
      <c r="AM518">
        <v>0</v>
      </c>
      <c r="AN518">
        <v>0</v>
      </c>
      <c r="AO518">
        <v>0</v>
      </c>
      <c r="AP518">
        <v>1680</v>
      </c>
      <c r="AT518" t="str">
        <f>T("9791137600775")</f>
        <v>9791137600775</v>
      </c>
      <c r="AV518" t="str">
        <f>T("로판 e북 &gt; 서양풍 로판")</f>
        <v>로판 e북 &gt; 서양풍 로판</v>
      </c>
    </row>
    <row r="519" spans="1:48" x14ac:dyDescent="0.4">
      <c r="A519">
        <v>2313011931</v>
      </c>
      <c r="B519">
        <v>2313011934</v>
      </c>
      <c r="C519" t="str">
        <f>T("[e북]공작가의 남루한 신부 4권")</f>
        <v>[e북]공작가의 남루한 신부 4권</v>
      </c>
      <c r="D519" t="str">
        <f>T("4")</f>
        <v>4</v>
      </c>
      <c r="E519" t="str">
        <f>T("무성매직")</f>
        <v>무성매직</v>
      </c>
      <c r="H519" t="str">
        <f t="shared" si="109"/>
        <v>스토리위즈</v>
      </c>
      <c r="I519" t="str">
        <f>T("[e북]공작가의 남루한 신부")</f>
        <v>[e북]공작가의 남루한 신부</v>
      </c>
      <c r="J519">
        <v>2400</v>
      </c>
      <c r="K519">
        <v>2400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2400</v>
      </c>
      <c r="AH519">
        <v>1</v>
      </c>
      <c r="AI519">
        <v>0</v>
      </c>
      <c r="AJ519">
        <v>0</v>
      </c>
      <c r="AK519">
        <v>2400</v>
      </c>
      <c r="AL519">
        <v>0</v>
      </c>
      <c r="AM519">
        <v>0</v>
      </c>
      <c r="AN519">
        <v>0</v>
      </c>
      <c r="AO519">
        <v>0</v>
      </c>
      <c r="AP519">
        <v>1680</v>
      </c>
      <c r="AT519" t="str">
        <f>T("9791137600782")</f>
        <v>9791137600782</v>
      </c>
      <c r="AV519" t="str">
        <f>T("로판 e북 &gt; 서양풍 로판")</f>
        <v>로판 e북 &gt; 서양풍 로판</v>
      </c>
    </row>
    <row r="520" spans="1:48" x14ac:dyDescent="0.4">
      <c r="A520">
        <v>2313011931</v>
      </c>
      <c r="B520">
        <v>2313011935</v>
      </c>
      <c r="C520" t="str">
        <f>T("[e북]공작가의 남루한 신부 5권 (완결)")</f>
        <v>[e북]공작가의 남루한 신부 5권 (완결)</v>
      </c>
      <c r="D520" t="str">
        <f>T("5")</f>
        <v>5</v>
      </c>
      <c r="E520" t="str">
        <f>T("무성매직")</f>
        <v>무성매직</v>
      </c>
      <c r="H520" t="str">
        <f t="shared" si="109"/>
        <v>스토리위즈</v>
      </c>
      <c r="I520" t="str">
        <f>T("[e북]공작가의 남루한 신부")</f>
        <v>[e북]공작가의 남루한 신부</v>
      </c>
      <c r="J520">
        <v>2400</v>
      </c>
      <c r="K520">
        <v>2400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2400</v>
      </c>
      <c r="AH520">
        <v>1</v>
      </c>
      <c r="AI520">
        <v>0</v>
      </c>
      <c r="AJ520">
        <v>0</v>
      </c>
      <c r="AK520">
        <v>2400</v>
      </c>
      <c r="AL520">
        <v>0</v>
      </c>
      <c r="AM520">
        <v>0</v>
      </c>
      <c r="AN520">
        <v>0</v>
      </c>
      <c r="AO520">
        <v>0</v>
      </c>
      <c r="AP520">
        <v>1680</v>
      </c>
      <c r="AT520" t="str">
        <f>T("9791137600799")</f>
        <v>9791137600799</v>
      </c>
      <c r="AV520" t="str">
        <f>T("로판 e북 &gt; 서양풍 로판")</f>
        <v>로판 e북 &gt; 서양풍 로판</v>
      </c>
    </row>
    <row r="521" spans="1:48" x14ac:dyDescent="0.4">
      <c r="A521">
        <v>2313017657</v>
      </c>
      <c r="B521">
        <v>2313017721</v>
      </c>
      <c r="C521" t="str">
        <f>T("회귀자의 슬기로운 복수생활 65화")</f>
        <v>회귀자의 슬기로운 복수생활 65화</v>
      </c>
      <c r="D521" t="str">
        <f>T("65")</f>
        <v>65</v>
      </c>
      <c r="E521" t="str">
        <f t="shared" ref="E521:E526" si="110">T("구공")</f>
        <v>구공</v>
      </c>
      <c r="H521" t="str">
        <f t="shared" si="109"/>
        <v>스토리위즈</v>
      </c>
      <c r="I521" t="str">
        <f t="shared" ref="I521:I526" si="111">T("회귀자의 슬기로운 복수생활")</f>
        <v>회귀자의 슬기로운 복수생활</v>
      </c>
      <c r="J521">
        <v>100</v>
      </c>
      <c r="K521">
        <v>2400</v>
      </c>
      <c r="L521">
        <v>24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2400</v>
      </c>
      <c r="AH521">
        <v>24</v>
      </c>
      <c r="AI521">
        <v>0</v>
      </c>
      <c r="AJ521">
        <v>0</v>
      </c>
      <c r="AK521">
        <v>2400</v>
      </c>
      <c r="AL521">
        <v>0</v>
      </c>
      <c r="AM521">
        <v>0</v>
      </c>
      <c r="AN521">
        <v>0</v>
      </c>
      <c r="AO521">
        <v>0</v>
      </c>
      <c r="AP521">
        <v>1680</v>
      </c>
      <c r="AT521" t="str">
        <f t="shared" ref="AT521:AT526" si="112">T("9791137601710")</f>
        <v>9791137601710</v>
      </c>
      <c r="AV521" t="str">
        <f t="shared" ref="AV521:AV584" si="113">T("판타지 웹소설 &gt; 퓨전 판타지")</f>
        <v>판타지 웹소설 &gt; 퓨전 판타지</v>
      </c>
    </row>
    <row r="522" spans="1:48" x14ac:dyDescent="0.4">
      <c r="A522">
        <v>2313017657</v>
      </c>
      <c r="B522">
        <v>2313017722</v>
      </c>
      <c r="C522" t="str">
        <f>T("회귀자의 슬기로운 복수생활 66화")</f>
        <v>회귀자의 슬기로운 복수생활 66화</v>
      </c>
      <c r="D522" t="str">
        <f>T("66")</f>
        <v>66</v>
      </c>
      <c r="E522" t="str">
        <f t="shared" si="110"/>
        <v>구공</v>
      </c>
      <c r="H522" t="str">
        <f t="shared" si="109"/>
        <v>스토리위즈</v>
      </c>
      <c r="I522" t="str">
        <f t="shared" si="111"/>
        <v>회귀자의 슬기로운 복수생활</v>
      </c>
      <c r="J522">
        <v>100</v>
      </c>
      <c r="K522">
        <v>2400</v>
      </c>
      <c r="L522">
        <v>24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2400</v>
      </c>
      <c r="AH522">
        <v>24</v>
      </c>
      <c r="AI522">
        <v>0</v>
      </c>
      <c r="AJ522">
        <v>0</v>
      </c>
      <c r="AK522">
        <v>2400</v>
      </c>
      <c r="AL522">
        <v>0</v>
      </c>
      <c r="AM522">
        <v>0</v>
      </c>
      <c r="AN522">
        <v>0</v>
      </c>
      <c r="AO522">
        <v>0</v>
      </c>
      <c r="AP522">
        <v>1680</v>
      </c>
      <c r="AT522" t="str">
        <f t="shared" si="112"/>
        <v>9791137601710</v>
      </c>
      <c r="AV522" t="str">
        <f t="shared" si="113"/>
        <v>판타지 웹소설 &gt; 퓨전 판타지</v>
      </c>
    </row>
    <row r="523" spans="1:48" x14ac:dyDescent="0.4">
      <c r="A523">
        <v>2313017657</v>
      </c>
      <c r="B523">
        <v>2313017724</v>
      </c>
      <c r="C523" t="str">
        <f>T("회귀자의 슬기로운 복수생활 68화")</f>
        <v>회귀자의 슬기로운 복수생활 68화</v>
      </c>
      <c r="D523" t="str">
        <f>T("68")</f>
        <v>68</v>
      </c>
      <c r="E523" t="str">
        <f t="shared" si="110"/>
        <v>구공</v>
      </c>
      <c r="H523" t="str">
        <f t="shared" si="109"/>
        <v>스토리위즈</v>
      </c>
      <c r="I523" t="str">
        <f t="shared" si="111"/>
        <v>회귀자의 슬기로운 복수생활</v>
      </c>
      <c r="J523">
        <v>100</v>
      </c>
      <c r="K523">
        <v>2400</v>
      </c>
      <c r="L523">
        <v>24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2400</v>
      </c>
      <c r="AH523">
        <v>24</v>
      </c>
      <c r="AI523">
        <v>0</v>
      </c>
      <c r="AJ523">
        <v>0</v>
      </c>
      <c r="AK523">
        <v>2400</v>
      </c>
      <c r="AL523">
        <v>0</v>
      </c>
      <c r="AM523">
        <v>0</v>
      </c>
      <c r="AN523">
        <v>0</v>
      </c>
      <c r="AO523">
        <v>0</v>
      </c>
      <c r="AP523">
        <v>1680</v>
      </c>
      <c r="AT523" t="str">
        <f t="shared" si="112"/>
        <v>9791137601710</v>
      </c>
      <c r="AV523" t="str">
        <f t="shared" si="113"/>
        <v>판타지 웹소설 &gt; 퓨전 판타지</v>
      </c>
    </row>
    <row r="524" spans="1:48" x14ac:dyDescent="0.4">
      <c r="A524">
        <v>2313017657</v>
      </c>
      <c r="B524">
        <v>2313017725</v>
      </c>
      <c r="C524" t="str">
        <f>T("회귀자의 슬기로운 복수생활 69화")</f>
        <v>회귀자의 슬기로운 복수생활 69화</v>
      </c>
      <c r="D524" t="str">
        <f>T("69")</f>
        <v>69</v>
      </c>
      <c r="E524" t="str">
        <f t="shared" si="110"/>
        <v>구공</v>
      </c>
      <c r="H524" t="str">
        <f t="shared" si="109"/>
        <v>스토리위즈</v>
      </c>
      <c r="I524" t="str">
        <f t="shared" si="111"/>
        <v>회귀자의 슬기로운 복수생활</v>
      </c>
      <c r="J524">
        <v>100</v>
      </c>
      <c r="K524">
        <v>2400</v>
      </c>
      <c r="L524">
        <v>24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2400</v>
      </c>
      <c r="AH524">
        <v>24</v>
      </c>
      <c r="AI524">
        <v>0</v>
      </c>
      <c r="AJ524">
        <v>0</v>
      </c>
      <c r="AK524">
        <v>2400</v>
      </c>
      <c r="AL524">
        <v>0</v>
      </c>
      <c r="AM524">
        <v>0</v>
      </c>
      <c r="AN524">
        <v>0</v>
      </c>
      <c r="AO524">
        <v>0</v>
      </c>
      <c r="AP524">
        <v>1680</v>
      </c>
      <c r="AT524" t="str">
        <f t="shared" si="112"/>
        <v>9791137601710</v>
      </c>
      <c r="AV524" t="str">
        <f t="shared" si="113"/>
        <v>판타지 웹소설 &gt; 퓨전 판타지</v>
      </c>
    </row>
    <row r="525" spans="1:48" x14ac:dyDescent="0.4">
      <c r="A525">
        <v>2313017657</v>
      </c>
      <c r="B525">
        <v>2313017735</v>
      </c>
      <c r="C525" t="str">
        <f>T("회귀자의 슬기로운 복수생활 79화")</f>
        <v>회귀자의 슬기로운 복수생활 79화</v>
      </c>
      <c r="D525" t="str">
        <f>T("79")</f>
        <v>79</v>
      </c>
      <c r="E525" t="str">
        <f t="shared" si="110"/>
        <v>구공</v>
      </c>
      <c r="H525" t="str">
        <f t="shared" si="109"/>
        <v>스토리위즈</v>
      </c>
      <c r="I525" t="str">
        <f t="shared" si="111"/>
        <v>회귀자의 슬기로운 복수생활</v>
      </c>
      <c r="J525">
        <v>100</v>
      </c>
      <c r="K525">
        <v>2400</v>
      </c>
      <c r="L525">
        <v>24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2400</v>
      </c>
      <c r="AH525">
        <v>24</v>
      </c>
      <c r="AI525">
        <v>0</v>
      </c>
      <c r="AJ525">
        <v>0</v>
      </c>
      <c r="AK525">
        <v>2400</v>
      </c>
      <c r="AL525">
        <v>0</v>
      </c>
      <c r="AM525">
        <v>0</v>
      </c>
      <c r="AN525">
        <v>0</v>
      </c>
      <c r="AO525">
        <v>0</v>
      </c>
      <c r="AP525">
        <v>1680</v>
      </c>
      <c r="AT525" t="str">
        <f t="shared" si="112"/>
        <v>9791137601710</v>
      </c>
      <c r="AV525" t="str">
        <f t="shared" si="113"/>
        <v>판타지 웹소설 &gt; 퓨전 판타지</v>
      </c>
    </row>
    <row r="526" spans="1:48" x14ac:dyDescent="0.4">
      <c r="A526">
        <v>2313017657</v>
      </c>
      <c r="B526">
        <v>2313017736</v>
      </c>
      <c r="C526" t="str">
        <f>T("회귀자의 슬기로운 복수생활 80화")</f>
        <v>회귀자의 슬기로운 복수생활 80화</v>
      </c>
      <c r="D526" t="str">
        <f>T("80")</f>
        <v>80</v>
      </c>
      <c r="E526" t="str">
        <f t="shared" si="110"/>
        <v>구공</v>
      </c>
      <c r="H526" t="str">
        <f t="shared" si="109"/>
        <v>스토리위즈</v>
      </c>
      <c r="I526" t="str">
        <f t="shared" si="111"/>
        <v>회귀자의 슬기로운 복수생활</v>
      </c>
      <c r="J526">
        <v>100</v>
      </c>
      <c r="K526">
        <v>2400</v>
      </c>
      <c r="L526">
        <v>24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2400</v>
      </c>
      <c r="AH526">
        <v>24</v>
      </c>
      <c r="AI526">
        <v>0</v>
      </c>
      <c r="AJ526">
        <v>0</v>
      </c>
      <c r="AK526">
        <v>2400</v>
      </c>
      <c r="AL526">
        <v>0</v>
      </c>
      <c r="AM526">
        <v>0</v>
      </c>
      <c r="AN526">
        <v>0</v>
      </c>
      <c r="AO526">
        <v>0</v>
      </c>
      <c r="AP526">
        <v>1680</v>
      </c>
      <c r="AT526" t="str">
        <f t="shared" si="112"/>
        <v>9791137601710</v>
      </c>
      <c r="AV526" t="str">
        <f t="shared" si="113"/>
        <v>판타지 웹소설 &gt; 퓨전 판타지</v>
      </c>
    </row>
    <row r="527" spans="1:48" x14ac:dyDescent="0.4">
      <c r="A527">
        <v>2313007845</v>
      </c>
      <c r="B527">
        <v>2313007889</v>
      </c>
      <c r="C527" t="str">
        <f>T("간신이 나라를 살림 45화")</f>
        <v>간신이 나라를 살림 45화</v>
      </c>
      <c r="D527" t="str">
        <f>T("45")</f>
        <v>45</v>
      </c>
      <c r="E527" t="str">
        <f>T("루이세")</f>
        <v>루이세</v>
      </c>
      <c r="H527" t="str">
        <f t="shared" si="109"/>
        <v>스토리위즈</v>
      </c>
      <c r="I527" t="str">
        <f>T("간신이 나라를 살림")</f>
        <v>간신이 나라를 살림</v>
      </c>
      <c r="J527">
        <v>100</v>
      </c>
      <c r="K527">
        <v>2300</v>
      </c>
      <c r="L527">
        <v>23</v>
      </c>
      <c r="M527">
        <v>0</v>
      </c>
      <c r="N527">
        <v>0</v>
      </c>
      <c r="O527">
        <v>0</v>
      </c>
      <c r="P527">
        <v>209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2300</v>
      </c>
      <c r="AH527">
        <v>232</v>
      </c>
      <c r="AI527">
        <v>0</v>
      </c>
      <c r="AJ527">
        <v>1</v>
      </c>
      <c r="AK527">
        <v>2300</v>
      </c>
      <c r="AL527">
        <v>0</v>
      </c>
      <c r="AM527">
        <v>0</v>
      </c>
      <c r="AN527">
        <v>0</v>
      </c>
      <c r="AO527">
        <v>0</v>
      </c>
      <c r="AP527">
        <v>1610</v>
      </c>
      <c r="AT527" t="str">
        <f>T("9791159284663")</f>
        <v>9791159284663</v>
      </c>
      <c r="AV527" t="str">
        <f t="shared" si="113"/>
        <v>판타지 웹소설 &gt; 퓨전 판타지</v>
      </c>
    </row>
    <row r="528" spans="1:48" x14ac:dyDescent="0.4">
      <c r="A528">
        <v>2313007845</v>
      </c>
      <c r="B528">
        <v>2313007895</v>
      </c>
      <c r="C528" t="str">
        <f>T("간신이 나라를 살림 51화")</f>
        <v>간신이 나라를 살림 51화</v>
      </c>
      <c r="D528" t="str">
        <f>T("51")</f>
        <v>51</v>
      </c>
      <c r="E528" t="str">
        <f>T("루이세")</f>
        <v>루이세</v>
      </c>
      <c r="H528" t="str">
        <f t="shared" si="109"/>
        <v>스토리위즈</v>
      </c>
      <c r="I528" t="str">
        <f>T("간신이 나라를 살림")</f>
        <v>간신이 나라를 살림</v>
      </c>
      <c r="J528">
        <v>100</v>
      </c>
      <c r="K528">
        <v>2300</v>
      </c>
      <c r="L528">
        <v>23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2300</v>
      </c>
      <c r="AH528">
        <v>23</v>
      </c>
      <c r="AI528">
        <v>0</v>
      </c>
      <c r="AJ528">
        <v>0</v>
      </c>
      <c r="AK528">
        <v>2300</v>
      </c>
      <c r="AL528">
        <v>0</v>
      </c>
      <c r="AM528">
        <v>0</v>
      </c>
      <c r="AN528">
        <v>0</v>
      </c>
      <c r="AO528">
        <v>0</v>
      </c>
      <c r="AP528">
        <v>1610</v>
      </c>
      <c r="AT528" t="str">
        <f>T("9791159284663")</f>
        <v>9791159284663</v>
      </c>
      <c r="AV528" t="str">
        <f t="shared" si="113"/>
        <v>판타지 웹소설 &gt; 퓨전 판타지</v>
      </c>
    </row>
    <row r="529" spans="1:48" x14ac:dyDescent="0.4">
      <c r="A529">
        <v>2313007845</v>
      </c>
      <c r="B529">
        <v>2313007897</v>
      </c>
      <c r="C529" t="str">
        <f>T("간신이 나라를 살림 53화")</f>
        <v>간신이 나라를 살림 53화</v>
      </c>
      <c r="D529" t="str">
        <f>T("53")</f>
        <v>53</v>
      </c>
      <c r="E529" t="str">
        <f>T("루이세")</f>
        <v>루이세</v>
      </c>
      <c r="H529" t="str">
        <f t="shared" si="109"/>
        <v>스토리위즈</v>
      </c>
      <c r="I529" t="str">
        <f>T("간신이 나라를 살림")</f>
        <v>간신이 나라를 살림</v>
      </c>
      <c r="J529">
        <v>100</v>
      </c>
      <c r="K529">
        <v>2300</v>
      </c>
      <c r="L529">
        <v>23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2300</v>
      </c>
      <c r="AH529">
        <v>23</v>
      </c>
      <c r="AI529">
        <v>0</v>
      </c>
      <c r="AJ529">
        <v>0</v>
      </c>
      <c r="AK529">
        <v>2300</v>
      </c>
      <c r="AL529">
        <v>0</v>
      </c>
      <c r="AM529">
        <v>0</v>
      </c>
      <c r="AN529">
        <v>0</v>
      </c>
      <c r="AO529">
        <v>0</v>
      </c>
      <c r="AP529">
        <v>1610</v>
      </c>
      <c r="AT529" t="str">
        <f>T("9791159284663")</f>
        <v>9791159284663</v>
      </c>
      <c r="AV529" t="str">
        <f t="shared" si="113"/>
        <v>판타지 웹소설 &gt; 퓨전 판타지</v>
      </c>
    </row>
    <row r="530" spans="1:48" x14ac:dyDescent="0.4">
      <c r="A530">
        <v>2313007845</v>
      </c>
      <c r="B530">
        <v>2313007898</v>
      </c>
      <c r="C530" t="str">
        <f>T("간신이 나라를 살림 54화")</f>
        <v>간신이 나라를 살림 54화</v>
      </c>
      <c r="D530" t="str">
        <f>T("54")</f>
        <v>54</v>
      </c>
      <c r="E530" t="str">
        <f>T("루이세")</f>
        <v>루이세</v>
      </c>
      <c r="H530" t="str">
        <f t="shared" si="109"/>
        <v>스토리위즈</v>
      </c>
      <c r="I530" t="str">
        <f>T("간신이 나라를 살림")</f>
        <v>간신이 나라를 살림</v>
      </c>
      <c r="J530">
        <v>100</v>
      </c>
      <c r="K530">
        <v>2300</v>
      </c>
      <c r="L530">
        <v>23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2300</v>
      </c>
      <c r="AH530">
        <v>23</v>
      </c>
      <c r="AI530">
        <v>0</v>
      </c>
      <c r="AJ530">
        <v>0</v>
      </c>
      <c r="AK530">
        <v>2300</v>
      </c>
      <c r="AL530">
        <v>0</v>
      </c>
      <c r="AM530">
        <v>0</v>
      </c>
      <c r="AN530">
        <v>0</v>
      </c>
      <c r="AO530">
        <v>0</v>
      </c>
      <c r="AP530">
        <v>1610</v>
      </c>
      <c r="AT530" t="str">
        <f>T("9791159284663")</f>
        <v>9791159284663</v>
      </c>
      <c r="AV530" t="str">
        <f t="shared" si="113"/>
        <v>판타지 웹소설 &gt; 퓨전 판타지</v>
      </c>
    </row>
    <row r="531" spans="1:48" x14ac:dyDescent="0.4">
      <c r="A531">
        <v>2313007845</v>
      </c>
      <c r="B531">
        <v>2313007900</v>
      </c>
      <c r="C531" t="str">
        <f>T("간신이 나라를 살림 56화")</f>
        <v>간신이 나라를 살림 56화</v>
      </c>
      <c r="D531" t="str">
        <f>T("56")</f>
        <v>56</v>
      </c>
      <c r="E531" t="str">
        <f>T("루이세")</f>
        <v>루이세</v>
      </c>
      <c r="H531" t="str">
        <f t="shared" si="109"/>
        <v>스토리위즈</v>
      </c>
      <c r="I531" t="str">
        <f>T("간신이 나라를 살림")</f>
        <v>간신이 나라를 살림</v>
      </c>
      <c r="J531">
        <v>100</v>
      </c>
      <c r="K531">
        <v>2300</v>
      </c>
      <c r="L531">
        <v>23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2300</v>
      </c>
      <c r="AH531">
        <v>23</v>
      </c>
      <c r="AI531">
        <v>0</v>
      </c>
      <c r="AJ531">
        <v>0</v>
      </c>
      <c r="AK531">
        <v>2300</v>
      </c>
      <c r="AL531">
        <v>0</v>
      </c>
      <c r="AM531">
        <v>0</v>
      </c>
      <c r="AN531">
        <v>0</v>
      </c>
      <c r="AO531">
        <v>0</v>
      </c>
      <c r="AP531">
        <v>1610</v>
      </c>
      <c r="AT531" t="str">
        <f>T("9791159284663")</f>
        <v>9791159284663</v>
      </c>
      <c r="AV531" t="str">
        <f t="shared" si="113"/>
        <v>판타지 웹소설 &gt; 퓨전 판타지</v>
      </c>
    </row>
    <row r="532" spans="1:48" x14ac:dyDescent="0.4">
      <c r="A532">
        <v>2313017657</v>
      </c>
      <c r="B532">
        <v>2313017723</v>
      </c>
      <c r="C532" t="str">
        <f>T("회귀자의 슬기로운 복수생활 67화")</f>
        <v>회귀자의 슬기로운 복수생활 67화</v>
      </c>
      <c r="D532" t="str">
        <f>T("67")</f>
        <v>67</v>
      </c>
      <c r="E532" t="str">
        <f t="shared" ref="E532:E537" si="114">T("구공")</f>
        <v>구공</v>
      </c>
      <c r="H532" t="str">
        <f t="shared" si="109"/>
        <v>스토리위즈</v>
      </c>
      <c r="I532" t="str">
        <f t="shared" ref="I532:I537" si="115">T("회귀자의 슬기로운 복수생활")</f>
        <v>회귀자의 슬기로운 복수생활</v>
      </c>
      <c r="J532">
        <v>100</v>
      </c>
      <c r="K532">
        <v>2300</v>
      </c>
      <c r="L532">
        <v>23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2300</v>
      </c>
      <c r="AH532">
        <v>23</v>
      </c>
      <c r="AI532">
        <v>0</v>
      </c>
      <c r="AJ532">
        <v>0</v>
      </c>
      <c r="AK532">
        <v>2300</v>
      </c>
      <c r="AL532">
        <v>0</v>
      </c>
      <c r="AM532">
        <v>0</v>
      </c>
      <c r="AN532">
        <v>0</v>
      </c>
      <c r="AO532">
        <v>0</v>
      </c>
      <c r="AP532">
        <v>1610</v>
      </c>
      <c r="AT532" t="str">
        <f t="shared" ref="AT532:AT537" si="116">T("9791137601710")</f>
        <v>9791137601710</v>
      </c>
      <c r="AV532" t="str">
        <f t="shared" si="113"/>
        <v>판타지 웹소설 &gt; 퓨전 판타지</v>
      </c>
    </row>
    <row r="533" spans="1:48" x14ac:dyDescent="0.4">
      <c r="A533">
        <v>2313017657</v>
      </c>
      <c r="B533">
        <v>2313017728</v>
      </c>
      <c r="C533" t="str">
        <f>T("회귀자의 슬기로운 복수생활 72화")</f>
        <v>회귀자의 슬기로운 복수생활 72화</v>
      </c>
      <c r="D533" t="str">
        <f>T("72")</f>
        <v>72</v>
      </c>
      <c r="E533" t="str">
        <f t="shared" si="114"/>
        <v>구공</v>
      </c>
      <c r="H533" t="str">
        <f t="shared" si="109"/>
        <v>스토리위즈</v>
      </c>
      <c r="I533" t="str">
        <f t="shared" si="115"/>
        <v>회귀자의 슬기로운 복수생활</v>
      </c>
      <c r="J533">
        <v>100</v>
      </c>
      <c r="K533">
        <v>2300</v>
      </c>
      <c r="L533">
        <v>23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2300</v>
      </c>
      <c r="AH533">
        <v>23</v>
      </c>
      <c r="AI533">
        <v>0</v>
      </c>
      <c r="AJ533">
        <v>0</v>
      </c>
      <c r="AK533">
        <v>2300</v>
      </c>
      <c r="AL533">
        <v>0</v>
      </c>
      <c r="AM533">
        <v>0</v>
      </c>
      <c r="AN533">
        <v>0</v>
      </c>
      <c r="AO533">
        <v>0</v>
      </c>
      <c r="AP533">
        <v>1610</v>
      </c>
      <c r="AT533" t="str">
        <f t="shared" si="116"/>
        <v>9791137601710</v>
      </c>
      <c r="AV533" t="str">
        <f t="shared" si="113"/>
        <v>판타지 웹소설 &gt; 퓨전 판타지</v>
      </c>
    </row>
    <row r="534" spans="1:48" x14ac:dyDescent="0.4">
      <c r="A534">
        <v>2313017657</v>
      </c>
      <c r="B534">
        <v>2313017729</v>
      </c>
      <c r="C534" t="str">
        <f>T("회귀자의 슬기로운 복수생활 73화")</f>
        <v>회귀자의 슬기로운 복수생활 73화</v>
      </c>
      <c r="D534" t="str">
        <f>T("73")</f>
        <v>73</v>
      </c>
      <c r="E534" t="str">
        <f t="shared" si="114"/>
        <v>구공</v>
      </c>
      <c r="H534" t="str">
        <f t="shared" si="109"/>
        <v>스토리위즈</v>
      </c>
      <c r="I534" t="str">
        <f t="shared" si="115"/>
        <v>회귀자의 슬기로운 복수생활</v>
      </c>
      <c r="J534">
        <v>100</v>
      </c>
      <c r="K534">
        <v>2300</v>
      </c>
      <c r="L534">
        <v>23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2300</v>
      </c>
      <c r="AH534">
        <v>23</v>
      </c>
      <c r="AI534">
        <v>0</v>
      </c>
      <c r="AJ534">
        <v>0</v>
      </c>
      <c r="AK534">
        <v>2300</v>
      </c>
      <c r="AL534">
        <v>0</v>
      </c>
      <c r="AM534">
        <v>0</v>
      </c>
      <c r="AN534">
        <v>0</v>
      </c>
      <c r="AO534">
        <v>0</v>
      </c>
      <c r="AP534">
        <v>1610</v>
      </c>
      <c r="AT534" t="str">
        <f t="shared" si="116"/>
        <v>9791137601710</v>
      </c>
      <c r="AV534" t="str">
        <f t="shared" si="113"/>
        <v>판타지 웹소설 &gt; 퓨전 판타지</v>
      </c>
    </row>
    <row r="535" spans="1:48" x14ac:dyDescent="0.4">
      <c r="A535">
        <v>2313017657</v>
      </c>
      <c r="B535">
        <v>2313017731</v>
      </c>
      <c r="C535" t="str">
        <f>T("회귀자의 슬기로운 복수생활 75화")</f>
        <v>회귀자의 슬기로운 복수생활 75화</v>
      </c>
      <c r="D535" t="str">
        <f>T("75")</f>
        <v>75</v>
      </c>
      <c r="E535" t="str">
        <f t="shared" si="114"/>
        <v>구공</v>
      </c>
      <c r="H535" t="str">
        <f t="shared" si="109"/>
        <v>스토리위즈</v>
      </c>
      <c r="I535" t="str">
        <f t="shared" si="115"/>
        <v>회귀자의 슬기로운 복수생활</v>
      </c>
      <c r="J535">
        <v>100</v>
      </c>
      <c r="K535">
        <v>2300</v>
      </c>
      <c r="L535">
        <v>23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2300</v>
      </c>
      <c r="AH535">
        <v>23</v>
      </c>
      <c r="AI535">
        <v>0</v>
      </c>
      <c r="AJ535">
        <v>0</v>
      </c>
      <c r="AK535">
        <v>2300</v>
      </c>
      <c r="AL535">
        <v>0</v>
      </c>
      <c r="AM535">
        <v>0</v>
      </c>
      <c r="AN535">
        <v>0</v>
      </c>
      <c r="AO535">
        <v>0</v>
      </c>
      <c r="AP535">
        <v>1610</v>
      </c>
      <c r="AT535" t="str">
        <f t="shared" si="116"/>
        <v>9791137601710</v>
      </c>
      <c r="AV535" t="str">
        <f t="shared" si="113"/>
        <v>판타지 웹소설 &gt; 퓨전 판타지</v>
      </c>
    </row>
    <row r="536" spans="1:48" x14ac:dyDescent="0.4">
      <c r="A536">
        <v>2313017657</v>
      </c>
      <c r="B536">
        <v>2313017737</v>
      </c>
      <c r="C536" t="str">
        <f>T("회귀자의 슬기로운 복수생활 81화")</f>
        <v>회귀자의 슬기로운 복수생활 81화</v>
      </c>
      <c r="D536" t="str">
        <f>T("81")</f>
        <v>81</v>
      </c>
      <c r="E536" t="str">
        <f t="shared" si="114"/>
        <v>구공</v>
      </c>
      <c r="H536" t="str">
        <f t="shared" si="109"/>
        <v>스토리위즈</v>
      </c>
      <c r="I536" t="str">
        <f t="shared" si="115"/>
        <v>회귀자의 슬기로운 복수생활</v>
      </c>
      <c r="J536">
        <v>100</v>
      </c>
      <c r="K536">
        <v>2300</v>
      </c>
      <c r="L536">
        <v>23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2300</v>
      </c>
      <c r="AH536">
        <v>23</v>
      </c>
      <c r="AI536">
        <v>0</v>
      </c>
      <c r="AJ536">
        <v>0</v>
      </c>
      <c r="AK536">
        <v>2300</v>
      </c>
      <c r="AL536">
        <v>0</v>
      </c>
      <c r="AM536">
        <v>0</v>
      </c>
      <c r="AN536">
        <v>0</v>
      </c>
      <c r="AO536">
        <v>0</v>
      </c>
      <c r="AP536">
        <v>1610</v>
      </c>
      <c r="AT536" t="str">
        <f t="shared" si="116"/>
        <v>9791137601710</v>
      </c>
      <c r="AV536" t="str">
        <f t="shared" si="113"/>
        <v>판타지 웹소설 &gt; 퓨전 판타지</v>
      </c>
    </row>
    <row r="537" spans="1:48" x14ac:dyDescent="0.4">
      <c r="A537">
        <v>2313017657</v>
      </c>
      <c r="B537">
        <v>2313017738</v>
      </c>
      <c r="C537" t="str">
        <f>T("회귀자의 슬기로운 복수생활 82화")</f>
        <v>회귀자의 슬기로운 복수생활 82화</v>
      </c>
      <c r="D537" t="str">
        <f>T("82")</f>
        <v>82</v>
      </c>
      <c r="E537" t="str">
        <f t="shared" si="114"/>
        <v>구공</v>
      </c>
      <c r="H537" t="str">
        <f t="shared" si="109"/>
        <v>스토리위즈</v>
      </c>
      <c r="I537" t="str">
        <f t="shared" si="115"/>
        <v>회귀자의 슬기로운 복수생활</v>
      </c>
      <c r="J537">
        <v>100</v>
      </c>
      <c r="K537">
        <v>2300</v>
      </c>
      <c r="L537">
        <v>23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2300</v>
      </c>
      <c r="AH537">
        <v>23</v>
      </c>
      <c r="AI537">
        <v>0</v>
      </c>
      <c r="AJ537">
        <v>0</v>
      </c>
      <c r="AK537">
        <v>2300</v>
      </c>
      <c r="AL537">
        <v>0</v>
      </c>
      <c r="AM537">
        <v>0</v>
      </c>
      <c r="AN537">
        <v>0</v>
      </c>
      <c r="AO537">
        <v>0</v>
      </c>
      <c r="AP537">
        <v>1610</v>
      </c>
      <c r="AT537" t="str">
        <f t="shared" si="116"/>
        <v>9791137601710</v>
      </c>
      <c r="AV537" t="str">
        <f t="shared" si="113"/>
        <v>판타지 웹소설 &gt; 퓨전 판타지</v>
      </c>
    </row>
    <row r="538" spans="1:48" x14ac:dyDescent="0.4">
      <c r="A538">
        <v>2313007845</v>
      </c>
      <c r="B538">
        <v>2313007876</v>
      </c>
      <c r="C538" t="str">
        <f>T("간신이 나라를 살림 32화")</f>
        <v>간신이 나라를 살림 32화</v>
      </c>
      <c r="D538" t="str">
        <f>T("32")</f>
        <v>32</v>
      </c>
      <c r="E538" t="str">
        <f t="shared" ref="E538:E543" si="117">T("루이세")</f>
        <v>루이세</v>
      </c>
      <c r="H538" t="str">
        <f t="shared" si="109"/>
        <v>스토리위즈</v>
      </c>
      <c r="I538" t="str">
        <f t="shared" ref="I538:I543" si="118">T("간신이 나라를 살림")</f>
        <v>간신이 나라를 살림</v>
      </c>
      <c r="J538">
        <v>100</v>
      </c>
      <c r="K538">
        <v>2200</v>
      </c>
      <c r="L538">
        <v>22</v>
      </c>
      <c r="M538">
        <v>0</v>
      </c>
      <c r="N538">
        <v>0</v>
      </c>
      <c r="O538">
        <v>0</v>
      </c>
      <c r="P538">
        <v>186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-100</v>
      </c>
      <c r="X538">
        <v>1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2200</v>
      </c>
      <c r="AH538">
        <v>208</v>
      </c>
      <c r="AI538">
        <v>-100</v>
      </c>
      <c r="AJ538">
        <v>2</v>
      </c>
      <c r="AK538">
        <v>2200</v>
      </c>
      <c r="AL538">
        <v>-100</v>
      </c>
      <c r="AM538">
        <v>0</v>
      </c>
      <c r="AN538">
        <v>0</v>
      </c>
      <c r="AO538">
        <v>0</v>
      </c>
      <c r="AP538">
        <v>1470</v>
      </c>
      <c r="AT538" t="str">
        <f t="shared" ref="AT538:AT543" si="119">T("9791159284663")</f>
        <v>9791159284663</v>
      </c>
      <c r="AV538" t="str">
        <f t="shared" si="113"/>
        <v>판타지 웹소설 &gt; 퓨전 판타지</v>
      </c>
    </row>
    <row r="539" spans="1:48" x14ac:dyDescent="0.4">
      <c r="A539">
        <v>2313007845</v>
      </c>
      <c r="B539">
        <v>2313007880</v>
      </c>
      <c r="C539" t="str">
        <f>T("간신이 나라를 살림 36화")</f>
        <v>간신이 나라를 살림 36화</v>
      </c>
      <c r="D539" t="str">
        <f>T("36")</f>
        <v>36</v>
      </c>
      <c r="E539" t="str">
        <f t="shared" si="117"/>
        <v>루이세</v>
      </c>
      <c r="H539" t="str">
        <f t="shared" si="109"/>
        <v>스토리위즈</v>
      </c>
      <c r="I539" t="str">
        <f t="shared" si="118"/>
        <v>간신이 나라를 살림</v>
      </c>
      <c r="J539">
        <v>100</v>
      </c>
      <c r="K539">
        <v>2200</v>
      </c>
      <c r="L539">
        <v>22</v>
      </c>
      <c r="M539">
        <v>0</v>
      </c>
      <c r="N539">
        <v>0</v>
      </c>
      <c r="O539">
        <v>0</v>
      </c>
      <c r="P539">
        <v>187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2200</v>
      </c>
      <c r="AH539">
        <v>209</v>
      </c>
      <c r="AI539">
        <v>0</v>
      </c>
      <c r="AJ539">
        <v>1</v>
      </c>
      <c r="AK539">
        <v>2200</v>
      </c>
      <c r="AL539">
        <v>0</v>
      </c>
      <c r="AM539">
        <v>0</v>
      </c>
      <c r="AN539">
        <v>0</v>
      </c>
      <c r="AO539">
        <v>0</v>
      </c>
      <c r="AP539">
        <v>1540</v>
      </c>
      <c r="AT539" t="str">
        <f t="shared" si="119"/>
        <v>9791159284663</v>
      </c>
      <c r="AV539" t="str">
        <f t="shared" si="113"/>
        <v>판타지 웹소설 &gt; 퓨전 판타지</v>
      </c>
    </row>
    <row r="540" spans="1:48" x14ac:dyDescent="0.4">
      <c r="A540">
        <v>2313007845</v>
      </c>
      <c r="B540">
        <v>2313007888</v>
      </c>
      <c r="C540" t="str">
        <f>T("간신이 나라를 살림 44화")</f>
        <v>간신이 나라를 살림 44화</v>
      </c>
      <c r="D540" t="str">
        <f>T("44")</f>
        <v>44</v>
      </c>
      <c r="E540" t="str">
        <f t="shared" si="117"/>
        <v>루이세</v>
      </c>
      <c r="H540" t="str">
        <f t="shared" si="109"/>
        <v>스토리위즈</v>
      </c>
      <c r="I540" t="str">
        <f t="shared" si="118"/>
        <v>간신이 나라를 살림</v>
      </c>
      <c r="J540">
        <v>100</v>
      </c>
      <c r="K540">
        <v>2200</v>
      </c>
      <c r="L540">
        <v>22</v>
      </c>
      <c r="M540">
        <v>0</v>
      </c>
      <c r="N540">
        <v>0</v>
      </c>
      <c r="O540">
        <v>0</v>
      </c>
      <c r="P540">
        <v>210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2200</v>
      </c>
      <c r="AH540">
        <v>232</v>
      </c>
      <c r="AI540">
        <v>0</v>
      </c>
      <c r="AJ540">
        <v>1</v>
      </c>
      <c r="AK540">
        <v>2200</v>
      </c>
      <c r="AL540">
        <v>0</v>
      </c>
      <c r="AM540">
        <v>0</v>
      </c>
      <c r="AN540">
        <v>0</v>
      </c>
      <c r="AO540">
        <v>0</v>
      </c>
      <c r="AP540">
        <v>1540</v>
      </c>
      <c r="AT540" t="str">
        <f t="shared" si="119"/>
        <v>9791159284663</v>
      </c>
      <c r="AV540" t="str">
        <f t="shared" si="113"/>
        <v>판타지 웹소설 &gt; 퓨전 판타지</v>
      </c>
    </row>
    <row r="541" spans="1:48" x14ac:dyDescent="0.4">
      <c r="A541">
        <v>2313007845</v>
      </c>
      <c r="B541">
        <v>2313007891</v>
      </c>
      <c r="C541" t="str">
        <f>T("간신이 나라를 살림 47화")</f>
        <v>간신이 나라를 살림 47화</v>
      </c>
      <c r="D541" t="str">
        <f>T("47")</f>
        <v>47</v>
      </c>
      <c r="E541" t="str">
        <f t="shared" si="117"/>
        <v>루이세</v>
      </c>
      <c r="H541" t="str">
        <f t="shared" si="109"/>
        <v>스토리위즈</v>
      </c>
      <c r="I541" t="str">
        <f t="shared" si="118"/>
        <v>간신이 나라를 살림</v>
      </c>
      <c r="J541">
        <v>100</v>
      </c>
      <c r="K541">
        <v>2200</v>
      </c>
      <c r="L541">
        <v>22</v>
      </c>
      <c r="M541">
        <v>0</v>
      </c>
      <c r="N541">
        <v>0</v>
      </c>
      <c r="O541">
        <v>0</v>
      </c>
      <c r="P541">
        <v>210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2200</v>
      </c>
      <c r="AH541">
        <v>232</v>
      </c>
      <c r="AI541">
        <v>0</v>
      </c>
      <c r="AJ541">
        <v>1</v>
      </c>
      <c r="AK541">
        <v>2200</v>
      </c>
      <c r="AL541">
        <v>0</v>
      </c>
      <c r="AM541">
        <v>0</v>
      </c>
      <c r="AN541">
        <v>0</v>
      </c>
      <c r="AO541">
        <v>0</v>
      </c>
      <c r="AP541">
        <v>1540</v>
      </c>
      <c r="AT541" t="str">
        <f t="shared" si="119"/>
        <v>9791159284663</v>
      </c>
      <c r="AV541" t="str">
        <f t="shared" si="113"/>
        <v>판타지 웹소설 &gt; 퓨전 판타지</v>
      </c>
    </row>
    <row r="542" spans="1:48" x14ac:dyDescent="0.4">
      <c r="A542">
        <v>2313007845</v>
      </c>
      <c r="B542">
        <v>2313007899</v>
      </c>
      <c r="C542" t="str">
        <f>T("간신이 나라를 살림 55화")</f>
        <v>간신이 나라를 살림 55화</v>
      </c>
      <c r="D542" t="str">
        <f>T("55")</f>
        <v>55</v>
      </c>
      <c r="E542" t="str">
        <f t="shared" si="117"/>
        <v>루이세</v>
      </c>
      <c r="H542" t="str">
        <f t="shared" si="109"/>
        <v>스토리위즈</v>
      </c>
      <c r="I542" t="str">
        <f t="shared" si="118"/>
        <v>간신이 나라를 살림</v>
      </c>
      <c r="J542">
        <v>100</v>
      </c>
      <c r="K542">
        <v>2200</v>
      </c>
      <c r="L542">
        <v>22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2200</v>
      </c>
      <c r="AH542">
        <v>22</v>
      </c>
      <c r="AI542">
        <v>0</v>
      </c>
      <c r="AJ542">
        <v>0</v>
      </c>
      <c r="AK542">
        <v>2200</v>
      </c>
      <c r="AL542">
        <v>0</v>
      </c>
      <c r="AM542">
        <v>0</v>
      </c>
      <c r="AN542">
        <v>0</v>
      </c>
      <c r="AO542">
        <v>0</v>
      </c>
      <c r="AP542">
        <v>1540</v>
      </c>
      <c r="AT542" t="str">
        <f t="shared" si="119"/>
        <v>9791159284663</v>
      </c>
      <c r="AV542" t="str">
        <f t="shared" si="113"/>
        <v>판타지 웹소설 &gt; 퓨전 판타지</v>
      </c>
    </row>
    <row r="543" spans="1:48" x14ac:dyDescent="0.4">
      <c r="A543">
        <v>2313007845</v>
      </c>
      <c r="B543">
        <v>2313007901</v>
      </c>
      <c r="C543" t="str">
        <f>T("간신이 나라를 살림 57화")</f>
        <v>간신이 나라를 살림 57화</v>
      </c>
      <c r="D543" t="str">
        <f>T("57")</f>
        <v>57</v>
      </c>
      <c r="E543" t="str">
        <f t="shared" si="117"/>
        <v>루이세</v>
      </c>
      <c r="H543" t="str">
        <f t="shared" si="109"/>
        <v>스토리위즈</v>
      </c>
      <c r="I543" t="str">
        <f t="shared" si="118"/>
        <v>간신이 나라를 살림</v>
      </c>
      <c r="J543">
        <v>100</v>
      </c>
      <c r="K543">
        <v>2200</v>
      </c>
      <c r="L543">
        <v>22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2200</v>
      </c>
      <c r="AH543">
        <v>22</v>
      </c>
      <c r="AI543">
        <v>0</v>
      </c>
      <c r="AJ543">
        <v>0</v>
      </c>
      <c r="AK543">
        <v>2200</v>
      </c>
      <c r="AL543">
        <v>0</v>
      </c>
      <c r="AM543">
        <v>0</v>
      </c>
      <c r="AN543">
        <v>0</v>
      </c>
      <c r="AO543">
        <v>0</v>
      </c>
      <c r="AP543">
        <v>1540</v>
      </c>
      <c r="AT543" t="str">
        <f t="shared" si="119"/>
        <v>9791159284663</v>
      </c>
      <c r="AV543" t="str">
        <f t="shared" si="113"/>
        <v>판타지 웹소설 &gt; 퓨전 판타지</v>
      </c>
    </row>
    <row r="544" spans="1:48" x14ac:dyDescent="0.4">
      <c r="A544">
        <v>2313017657</v>
      </c>
      <c r="B544">
        <v>2313017726</v>
      </c>
      <c r="C544" t="str">
        <f>T("회귀자의 슬기로운 복수생활 70화")</f>
        <v>회귀자의 슬기로운 복수생활 70화</v>
      </c>
      <c r="D544" t="str">
        <f>T("70")</f>
        <v>70</v>
      </c>
      <c r="E544" t="str">
        <f t="shared" ref="E544:E550" si="120">T("구공")</f>
        <v>구공</v>
      </c>
      <c r="H544" t="str">
        <f t="shared" si="109"/>
        <v>스토리위즈</v>
      </c>
      <c r="I544" t="str">
        <f t="shared" ref="I544:I550" si="121">T("회귀자의 슬기로운 복수생활")</f>
        <v>회귀자의 슬기로운 복수생활</v>
      </c>
      <c r="J544">
        <v>100</v>
      </c>
      <c r="K544">
        <v>2200</v>
      </c>
      <c r="L544">
        <v>22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2200</v>
      </c>
      <c r="AH544">
        <v>22</v>
      </c>
      <c r="AI544">
        <v>0</v>
      </c>
      <c r="AJ544">
        <v>0</v>
      </c>
      <c r="AK544">
        <v>2200</v>
      </c>
      <c r="AL544">
        <v>0</v>
      </c>
      <c r="AM544">
        <v>0</v>
      </c>
      <c r="AN544">
        <v>0</v>
      </c>
      <c r="AO544">
        <v>0</v>
      </c>
      <c r="AP544">
        <v>1540</v>
      </c>
      <c r="AT544" t="str">
        <f t="shared" ref="AT544:AT550" si="122">T("9791137601710")</f>
        <v>9791137601710</v>
      </c>
      <c r="AV544" t="str">
        <f t="shared" si="113"/>
        <v>판타지 웹소설 &gt; 퓨전 판타지</v>
      </c>
    </row>
    <row r="545" spans="1:48" x14ac:dyDescent="0.4">
      <c r="A545">
        <v>2313017657</v>
      </c>
      <c r="B545">
        <v>2313017727</v>
      </c>
      <c r="C545" t="str">
        <f>T("회귀자의 슬기로운 복수생활 71화")</f>
        <v>회귀자의 슬기로운 복수생활 71화</v>
      </c>
      <c r="D545" t="str">
        <f>T("71")</f>
        <v>71</v>
      </c>
      <c r="E545" t="str">
        <f t="shared" si="120"/>
        <v>구공</v>
      </c>
      <c r="H545" t="str">
        <f t="shared" si="109"/>
        <v>스토리위즈</v>
      </c>
      <c r="I545" t="str">
        <f t="shared" si="121"/>
        <v>회귀자의 슬기로운 복수생활</v>
      </c>
      <c r="J545">
        <v>100</v>
      </c>
      <c r="K545">
        <v>2200</v>
      </c>
      <c r="L545">
        <v>22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2200</v>
      </c>
      <c r="AH545">
        <v>22</v>
      </c>
      <c r="AI545">
        <v>0</v>
      </c>
      <c r="AJ545">
        <v>0</v>
      </c>
      <c r="AK545">
        <v>2200</v>
      </c>
      <c r="AL545">
        <v>0</v>
      </c>
      <c r="AM545">
        <v>0</v>
      </c>
      <c r="AN545">
        <v>0</v>
      </c>
      <c r="AO545">
        <v>0</v>
      </c>
      <c r="AP545">
        <v>1540</v>
      </c>
      <c r="AT545" t="str">
        <f t="shared" si="122"/>
        <v>9791137601710</v>
      </c>
      <c r="AV545" t="str">
        <f t="shared" si="113"/>
        <v>판타지 웹소설 &gt; 퓨전 판타지</v>
      </c>
    </row>
    <row r="546" spans="1:48" x14ac:dyDescent="0.4">
      <c r="A546">
        <v>2313017657</v>
      </c>
      <c r="B546">
        <v>2313017730</v>
      </c>
      <c r="C546" t="str">
        <f>T("회귀자의 슬기로운 복수생활 74화")</f>
        <v>회귀자의 슬기로운 복수생활 74화</v>
      </c>
      <c r="D546" t="str">
        <f>T("74")</f>
        <v>74</v>
      </c>
      <c r="E546" t="str">
        <f t="shared" si="120"/>
        <v>구공</v>
      </c>
      <c r="H546" t="str">
        <f t="shared" si="109"/>
        <v>스토리위즈</v>
      </c>
      <c r="I546" t="str">
        <f t="shared" si="121"/>
        <v>회귀자의 슬기로운 복수생활</v>
      </c>
      <c r="J546">
        <v>100</v>
      </c>
      <c r="K546">
        <v>2200</v>
      </c>
      <c r="L546">
        <v>22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2200</v>
      </c>
      <c r="AH546">
        <v>22</v>
      </c>
      <c r="AI546">
        <v>0</v>
      </c>
      <c r="AJ546">
        <v>0</v>
      </c>
      <c r="AK546">
        <v>2200</v>
      </c>
      <c r="AL546">
        <v>0</v>
      </c>
      <c r="AM546">
        <v>0</v>
      </c>
      <c r="AN546">
        <v>0</v>
      </c>
      <c r="AO546">
        <v>0</v>
      </c>
      <c r="AP546">
        <v>1540</v>
      </c>
      <c r="AT546" t="str">
        <f t="shared" si="122"/>
        <v>9791137601710</v>
      </c>
      <c r="AV546" t="str">
        <f t="shared" si="113"/>
        <v>판타지 웹소설 &gt; 퓨전 판타지</v>
      </c>
    </row>
    <row r="547" spans="1:48" x14ac:dyDescent="0.4">
      <c r="A547">
        <v>2313017657</v>
      </c>
      <c r="B547">
        <v>2313017732</v>
      </c>
      <c r="C547" t="str">
        <f>T("회귀자의 슬기로운 복수생활 76화")</f>
        <v>회귀자의 슬기로운 복수생활 76화</v>
      </c>
      <c r="D547" t="str">
        <f>T("76")</f>
        <v>76</v>
      </c>
      <c r="E547" t="str">
        <f t="shared" si="120"/>
        <v>구공</v>
      </c>
      <c r="H547" t="str">
        <f t="shared" si="109"/>
        <v>스토리위즈</v>
      </c>
      <c r="I547" t="str">
        <f t="shared" si="121"/>
        <v>회귀자의 슬기로운 복수생활</v>
      </c>
      <c r="J547">
        <v>100</v>
      </c>
      <c r="K547">
        <v>2200</v>
      </c>
      <c r="L547">
        <v>22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2200</v>
      </c>
      <c r="AH547">
        <v>22</v>
      </c>
      <c r="AI547">
        <v>0</v>
      </c>
      <c r="AJ547">
        <v>0</v>
      </c>
      <c r="AK547">
        <v>2200</v>
      </c>
      <c r="AL547">
        <v>0</v>
      </c>
      <c r="AM547">
        <v>0</v>
      </c>
      <c r="AN547">
        <v>0</v>
      </c>
      <c r="AO547">
        <v>0</v>
      </c>
      <c r="AP547">
        <v>1540</v>
      </c>
      <c r="AT547" t="str">
        <f t="shared" si="122"/>
        <v>9791137601710</v>
      </c>
      <c r="AV547" t="str">
        <f t="shared" si="113"/>
        <v>판타지 웹소설 &gt; 퓨전 판타지</v>
      </c>
    </row>
    <row r="548" spans="1:48" x14ac:dyDescent="0.4">
      <c r="A548">
        <v>2313017657</v>
      </c>
      <c r="B548">
        <v>2313017734</v>
      </c>
      <c r="C548" t="str">
        <f>T("회귀자의 슬기로운 복수생활 78화")</f>
        <v>회귀자의 슬기로운 복수생활 78화</v>
      </c>
      <c r="D548" t="str">
        <f>T("78")</f>
        <v>78</v>
      </c>
      <c r="E548" t="str">
        <f t="shared" si="120"/>
        <v>구공</v>
      </c>
      <c r="H548" t="str">
        <f t="shared" si="109"/>
        <v>스토리위즈</v>
      </c>
      <c r="I548" t="str">
        <f t="shared" si="121"/>
        <v>회귀자의 슬기로운 복수생활</v>
      </c>
      <c r="J548">
        <v>100</v>
      </c>
      <c r="K548">
        <v>2200</v>
      </c>
      <c r="L548">
        <v>22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2200</v>
      </c>
      <c r="AH548">
        <v>22</v>
      </c>
      <c r="AI548">
        <v>0</v>
      </c>
      <c r="AJ548">
        <v>0</v>
      </c>
      <c r="AK548">
        <v>2200</v>
      </c>
      <c r="AL548">
        <v>0</v>
      </c>
      <c r="AM548">
        <v>0</v>
      </c>
      <c r="AN548">
        <v>0</v>
      </c>
      <c r="AO548">
        <v>0</v>
      </c>
      <c r="AP548">
        <v>1540</v>
      </c>
      <c r="AT548" t="str">
        <f t="shared" si="122"/>
        <v>9791137601710</v>
      </c>
      <c r="AV548" t="str">
        <f t="shared" si="113"/>
        <v>판타지 웹소설 &gt; 퓨전 판타지</v>
      </c>
    </row>
    <row r="549" spans="1:48" x14ac:dyDescent="0.4">
      <c r="A549">
        <v>2313017657</v>
      </c>
      <c r="B549">
        <v>2313017745</v>
      </c>
      <c r="C549" t="str">
        <f>T("회귀자의 슬기로운 복수생활 89화")</f>
        <v>회귀자의 슬기로운 복수생활 89화</v>
      </c>
      <c r="D549" t="str">
        <f>T("89")</f>
        <v>89</v>
      </c>
      <c r="E549" t="str">
        <f t="shared" si="120"/>
        <v>구공</v>
      </c>
      <c r="H549" t="str">
        <f t="shared" si="109"/>
        <v>스토리위즈</v>
      </c>
      <c r="I549" t="str">
        <f t="shared" si="121"/>
        <v>회귀자의 슬기로운 복수생활</v>
      </c>
      <c r="J549">
        <v>100</v>
      </c>
      <c r="K549">
        <v>2200</v>
      </c>
      <c r="L549">
        <v>22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2200</v>
      </c>
      <c r="AH549">
        <v>22</v>
      </c>
      <c r="AI549">
        <v>0</v>
      </c>
      <c r="AJ549">
        <v>0</v>
      </c>
      <c r="AK549">
        <v>2200</v>
      </c>
      <c r="AL549">
        <v>0</v>
      </c>
      <c r="AM549">
        <v>0</v>
      </c>
      <c r="AN549">
        <v>0</v>
      </c>
      <c r="AO549">
        <v>0</v>
      </c>
      <c r="AP549">
        <v>1540</v>
      </c>
      <c r="AT549" t="str">
        <f t="shared" si="122"/>
        <v>9791137601710</v>
      </c>
      <c r="AV549" t="str">
        <f t="shared" si="113"/>
        <v>판타지 웹소설 &gt; 퓨전 판타지</v>
      </c>
    </row>
    <row r="550" spans="1:48" x14ac:dyDescent="0.4">
      <c r="A550">
        <v>2313017657</v>
      </c>
      <c r="B550">
        <v>2313017747</v>
      </c>
      <c r="C550" t="str">
        <f>T("회귀자의 슬기로운 복수생활 91화")</f>
        <v>회귀자의 슬기로운 복수생활 91화</v>
      </c>
      <c r="D550" t="str">
        <f>T("91")</f>
        <v>91</v>
      </c>
      <c r="E550" t="str">
        <f t="shared" si="120"/>
        <v>구공</v>
      </c>
      <c r="H550" t="str">
        <f t="shared" si="109"/>
        <v>스토리위즈</v>
      </c>
      <c r="I550" t="str">
        <f t="shared" si="121"/>
        <v>회귀자의 슬기로운 복수생활</v>
      </c>
      <c r="J550">
        <v>100</v>
      </c>
      <c r="K550">
        <v>2200</v>
      </c>
      <c r="L550">
        <v>22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2200</v>
      </c>
      <c r="AH550">
        <v>22</v>
      </c>
      <c r="AI550">
        <v>0</v>
      </c>
      <c r="AJ550">
        <v>0</v>
      </c>
      <c r="AK550">
        <v>2200</v>
      </c>
      <c r="AL550">
        <v>0</v>
      </c>
      <c r="AM550">
        <v>0</v>
      </c>
      <c r="AN550">
        <v>0</v>
      </c>
      <c r="AO550">
        <v>0</v>
      </c>
      <c r="AP550">
        <v>1540</v>
      </c>
      <c r="AT550" t="str">
        <f t="shared" si="122"/>
        <v>9791137601710</v>
      </c>
      <c r="AV550" t="str">
        <f t="shared" si="113"/>
        <v>판타지 웹소설 &gt; 퓨전 판타지</v>
      </c>
    </row>
    <row r="551" spans="1:48" x14ac:dyDescent="0.4">
      <c r="A551">
        <v>2313007845</v>
      </c>
      <c r="B551">
        <v>2313007872</v>
      </c>
      <c r="C551" t="str">
        <f>T("간신이 나라를 살림 28화")</f>
        <v>간신이 나라를 살림 28화</v>
      </c>
      <c r="D551" t="str">
        <f>T("28")</f>
        <v>28</v>
      </c>
      <c r="E551" t="str">
        <f>T("루이세")</f>
        <v>루이세</v>
      </c>
      <c r="H551" t="str">
        <f t="shared" si="109"/>
        <v>스토리위즈</v>
      </c>
      <c r="I551" t="str">
        <f>T("간신이 나라를 살림")</f>
        <v>간신이 나라를 살림</v>
      </c>
      <c r="J551">
        <v>100</v>
      </c>
      <c r="K551">
        <v>2100</v>
      </c>
      <c r="L551">
        <v>21</v>
      </c>
      <c r="M551">
        <v>0</v>
      </c>
      <c r="N551">
        <v>0</v>
      </c>
      <c r="O551">
        <v>0</v>
      </c>
      <c r="P551">
        <v>189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-100</v>
      </c>
      <c r="X551">
        <v>1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2100</v>
      </c>
      <c r="AH551">
        <v>210</v>
      </c>
      <c r="AI551">
        <v>-100</v>
      </c>
      <c r="AJ551">
        <v>2</v>
      </c>
      <c r="AK551">
        <v>2100</v>
      </c>
      <c r="AL551">
        <v>-100</v>
      </c>
      <c r="AM551">
        <v>0</v>
      </c>
      <c r="AN551">
        <v>0</v>
      </c>
      <c r="AO551">
        <v>0</v>
      </c>
      <c r="AP551">
        <v>1400</v>
      </c>
      <c r="AT551" t="str">
        <f>T("9791159284663")</f>
        <v>9791159284663</v>
      </c>
      <c r="AV551" t="str">
        <f t="shared" si="113"/>
        <v>판타지 웹소설 &gt; 퓨전 판타지</v>
      </c>
    </row>
    <row r="552" spans="1:48" x14ac:dyDescent="0.4">
      <c r="A552">
        <v>2313007845</v>
      </c>
      <c r="B552">
        <v>2313007873</v>
      </c>
      <c r="C552" t="str">
        <f>T("간신이 나라를 살림 29화")</f>
        <v>간신이 나라를 살림 29화</v>
      </c>
      <c r="D552" t="str">
        <f>T("29")</f>
        <v>29</v>
      </c>
      <c r="E552" t="str">
        <f>T("루이세")</f>
        <v>루이세</v>
      </c>
      <c r="H552" t="str">
        <f t="shared" si="109"/>
        <v>스토리위즈</v>
      </c>
      <c r="I552" t="str">
        <f>T("간신이 나라를 살림")</f>
        <v>간신이 나라를 살림</v>
      </c>
      <c r="J552">
        <v>100</v>
      </c>
      <c r="K552">
        <v>2100</v>
      </c>
      <c r="L552">
        <v>21</v>
      </c>
      <c r="M552">
        <v>0</v>
      </c>
      <c r="N552">
        <v>0</v>
      </c>
      <c r="O552">
        <v>0</v>
      </c>
      <c r="P552">
        <v>189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-100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2100</v>
      </c>
      <c r="AH552">
        <v>210</v>
      </c>
      <c r="AI552">
        <v>-100</v>
      </c>
      <c r="AJ552">
        <v>2</v>
      </c>
      <c r="AK552">
        <v>2100</v>
      </c>
      <c r="AL552">
        <v>-100</v>
      </c>
      <c r="AM552">
        <v>0</v>
      </c>
      <c r="AN552">
        <v>0</v>
      </c>
      <c r="AO552">
        <v>0</v>
      </c>
      <c r="AP552">
        <v>1400</v>
      </c>
      <c r="AT552" t="str">
        <f>T("9791159284663")</f>
        <v>9791159284663</v>
      </c>
      <c r="AV552" t="str">
        <f t="shared" si="113"/>
        <v>판타지 웹소설 &gt; 퓨전 판타지</v>
      </c>
    </row>
    <row r="553" spans="1:48" x14ac:dyDescent="0.4">
      <c r="A553">
        <v>2313007845</v>
      </c>
      <c r="B553">
        <v>2313007890</v>
      </c>
      <c r="C553" t="str">
        <f>T("간신이 나라를 살림 46화")</f>
        <v>간신이 나라를 살림 46화</v>
      </c>
      <c r="D553" t="str">
        <f>T("46")</f>
        <v>46</v>
      </c>
      <c r="E553" t="str">
        <f>T("루이세")</f>
        <v>루이세</v>
      </c>
      <c r="H553" t="str">
        <f t="shared" si="109"/>
        <v>스토리위즈</v>
      </c>
      <c r="I553" t="str">
        <f>T("간신이 나라를 살림")</f>
        <v>간신이 나라를 살림</v>
      </c>
      <c r="J553">
        <v>100</v>
      </c>
      <c r="K553">
        <v>2100</v>
      </c>
      <c r="L553">
        <v>21</v>
      </c>
      <c r="M553">
        <v>0</v>
      </c>
      <c r="N553">
        <v>0</v>
      </c>
      <c r="O553">
        <v>0</v>
      </c>
      <c r="P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2100</v>
      </c>
      <c r="AH553">
        <v>230</v>
      </c>
      <c r="AI553">
        <v>0</v>
      </c>
      <c r="AJ553">
        <v>1</v>
      </c>
      <c r="AK553">
        <v>2100</v>
      </c>
      <c r="AL553">
        <v>0</v>
      </c>
      <c r="AM553">
        <v>0</v>
      </c>
      <c r="AN553">
        <v>0</v>
      </c>
      <c r="AO553">
        <v>0</v>
      </c>
      <c r="AP553">
        <v>1470</v>
      </c>
      <c r="AT553" t="str">
        <f>T("9791159284663")</f>
        <v>9791159284663</v>
      </c>
      <c r="AV553" t="str">
        <f t="shared" si="113"/>
        <v>판타지 웹소설 &gt; 퓨전 판타지</v>
      </c>
    </row>
    <row r="554" spans="1:48" x14ac:dyDescent="0.4">
      <c r="A554">
        <v>2313007845</v>
      </c>
      <c r="B554">
        <v>2313007892</v>
      </c>
      <c r="C554" t="str">
        <f>T("간신이 나라를 살림 48화")</f>
        <v>간신이 나라를 살림 48화</v>
      </c>
      <c r="D554" t="str">
        <f>T("48")</f>
        <v>48</v>
      </c>
      <c r="E554" t="str">
        <f>T("루이세")</f>
        <v>루이세</v>
      </c>
      <c r="H554" t="str">
        <f t="shared" si="109"/>
        <v>스토리위즈</v>
      </c>
      <c r="I554" t="str">
        <f>T("간신이 나라를 살림")</f>
        <v>간신이 나라를 살림</v>
      </c>
      <c r="J554">
        <v>100</v>
      </c>
      <c r="K554">
        <v>2100</v>
      </c>
      <c r="L554">
        <v>21</v>
      </c>
      <c r="M554">
        <v>0</v>
      </c>
      <c r="N554">
        <v>0</v>
      </c>
      <c r="O554">
        <v>0</v>
      </c>
      <c r="P554">
        <v>212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2100</v>
      </c>
      <c r="AH554">
        <v>233</v>
      </c>
      <c r="AI554">
        <v>0</v>
      </c>
      <c r="AJ554">
        <v>1</v>
      </c>
      <c r="AK554">
        <v>2100</v>
      </c>
      <c r="AL554">
        <v>0</v>
      </c>
      <c r="AM554">
        <v>0</v>
      </c>
      <c r="AN554">
        <v>0</v>
      </c>
      <c r="AO554">
        <v>0</v>
      </c>
      <c r="AP554">
        <v>1470</v>
      </c>
      <c r="AT554" t="str">
        <f>T("9791159284663")</f>
        <v>9791159284663</v>
      </c>
      <c r="AV554" t="str">
        <f t="shared" si="113"/>
        <v>판타지 웹소설 &gt; 퓨전 판타지</v>
      </c>
    </row>
    <row r="555" spans="1:48" x14ac:dyDescent="0.4">
      <c r="A555">
        <v>2313007845</v>
      </c>
      <c r="B555">
        <v>2313007896</v>
      </c>
      <c r="C555" t="str">
        <f>T("간신이 나라를 살림 52화")</f>
        <v>간신이 나라를 살림 52화</v>
      </c>
      <c r="D555" t="str">
        <f>T("52")</f>
        <v>52</v>
      </c>
      <c r="E555" t="str">
        <f>T("루이세")</f>
        <v>루이세</v>
      </c>
      <c r="H555" t="str">
        <f t="shared" si="109"/>
        <v>스토리위즈</v>
      </c>
      <c r="I555" t="str">
        <f>T("간신이 나라를 살림")</f>
        <v>간신이 나라를 살림</v>
      </c>
      <c r="J555">
        <v>100</v>
      </c>
      <c r="K555">
        <v>2100</v>
      </c>
      <c r="L555">
        <v>21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2100</v>
      </c>
      <c r="AH555">
        <v>21</v>
      </c>
      <c r="AI555">
        <v>0</v>
      </c>
      <c r="AJ555">
        <v>0</v>
      </c>
      <c r="AK555">
        <v>2100</v>
      </c>
      <c r="AL555">
        <v>0</v>
      </c>
      <c r="AM555">
        <v>0</v>
      </c>
      <c r="AN555">
        <v>0</v>
      </c>
      <c r="AO555">
        <v>0</v>
      </c>
      <c r="AP555">
        <v>1470</v>
      </c>
      <c r="AT555" t="str">
        <f>T("9791159284663")</f>
        <v>9791159284663</v>
      </c>
      <c r="AV555" t="str">
        <f t="shared" si="113"/>
        <v>판타지 웹소설 &gt; 퓨전 판타지</v>
      </c>
    </row>
    <row r="556" spans="1:48" x14ac:dyDescent="0.4">
      <c r="A556">
        <v>2313017657</v>
      </c>
      <c r="B556">
        <v>2313017733</v>
      </c>
      <c r="C556" t="str">
        <f>T("회귀자의 슬기로운 복수생활 77화")</f>
        <v>회귀자의 슬기로운 복수생활 77화</v>
      </c>
      <c r="D556" t="str">
        <f>T("77")</f>
        <v>77</v>
      </c>
      <c r="E556" t="str">
        <f t="shared" ref="E556:E565" si="123">T("구공")</f>
        <v>구공</v>
      </c>
      <c r="H556" t="str">
        <f t="shared" si="109"/>
        <v>스토리위즈</v>
      </c>
      <c r="I556" t="str">
        <f t="shared" ref="I556:I565" si="124">T("회귀자의 슬기로운 복수생활")</f>
        <v>회귀자의 슬기로운 복수생활</v>
      </c>
      <c r="J556">
        <v>100</v>
      </c>
      <c r="K556">
        <v>2100</v>
      </c>
      <c r="L556">
        <v>21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2100</v>
      </c>
      <c r="AH556">
        <v>21</v>
      </c>
      <c r="AI556">
        <v>0</v>
      </c>
      <c r="AJ556">
        <v>0</v>
      </c>
      <c r="AK556">
        <v>2100</v>
      </c>
      <c r="AL556">
        <v>0</v>
      </c>
      <c r="AM556">
        <v>0</v>
      </c>
      <c r="AN556">
        <v>0</v>
      </c>
      <c r="AO556">
        <v>0</v>
      </c>
      <c r="AP556">
        <v>1470</v>
      </c>
      <c r="AT556" t="str">
        <f t="shared" ref="AT556:AT565" si="125">T("9791137601710")</f>
        <v>9791137601710</v>
      </c>
      <c r="AV556" t="str">
        <f t="shared" si="113"/>
        <v>판타지 웹소설 &gt; 퓨전 판타지</v>
      </c>
    </row>
    <row r="557" spans="1:48" x14ac:dyDescent="0.4">
      <c r="A557">
        <v>2313017657</v>
      </c>
      <c r="B557">
        <v>2313017739</v>
      </c>
      <c r="C557" t="str">
        <f>T("회귀자의 슬기로운 복수생활 83화")</f>
        <v>회귀자의 슬기로운 복수생활 83화</v>
      </c>
      <c r="D557" t="str">
        <f>T("83")</f>
        <v>83</v>
      </c>
      <c r="E557" t="str">
        <f t="shared" si="123"/>
        <v>구공</v>
      </c>
      <c r="H557" t="str">
        <f t="shared" si="109"/>
        <v>스토리위즈</v>
      </c>
      <c r="I557" t="str">
        <f t="shared" si="124"/>
        <v>회귀자의 슬기로운 복수생활</v>
      </c>
      <c r="J557">
        <v>100</v>
      </c>
      <c r="K557">
        <v>2100</v>
      </c>
      <c r="L557">
        <v>21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2100</v>
      </c>
      <c r="AH557">
        <v>21</v>
      </c>
      <c r="AI557">
        <v>0</v>
      </c>
      <c r="AJ557">
        <v>0</v>
      </c>
      <c r="AK557">
        <v>2100</v>
      </c>
      <c r="AL557">
        <v>0</v>
      </c>
      <c r="AM557">
        <v>0</v>
      </c>
      <c r="AN557">
        <v>0</v>
      </c>
      <c r="AO557">
        <v>0</v>
      </c>
      <c r="AP557">
        <v>1470</v>
      </c>
      <c r="AT557" t="str">
        <f t="shared" si="125"/>
        <v>9791137601710</v>
      </c>
      <c r="AV557" t="str">
        <f t="shared" si="113"/>
        <v>판타지 웹소설 &gt; 퓨전 판타지</v>
      </c>
    </row>
    <row r="558" spans="1:48" x14ac:dyDescent="0.4">
      <c r="A558">
        <v>2313017657</v>
      </c>
      <c r="B558">
        <v>2313017740</v>
      </c>
      <c r="C558" t="str">
        <f>T("회귀자의 슬기로운 복수생활 84화")</f>
        <v>회귀자의 슬기로운 복수생활 84화</v>
      </c>
      <c r="D558" t="str">
        <f>T("84")</f>
        <v>84</v>
      </c>
      <c r="E558" t="str">
        <f t="shared" si="123"/>
        <v>구공</v>
      </c>
      <c r="H558" t="str">
        <f t="shared" si="109"/>
        <v>스토리위즈</v>
      </c>
      <c r="I558" t="str">
        <f t="shared" si="124"/>
        <v>회귀자의 슬기로운 복수생활</v>
      </c>
      <c r="J558">
        <v>100</v>
      </c>
      <c r="K558">
        <v>2100</v>
      </c>
      <c r="L558">
        <v>21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2100</v>
      </c>
      <c r="AH558">
        <v>21</v>
      </c>
      <c r="AI558">
        <v>0</v>
      </c>
      <c r="AJ558">
        <v>0</v>
      </c>
      <c r="AK558">
        <v>2100</v>
      </c>
      <c r="AL558">
        <v>0</v>
      </c>
      <c r="AM558">
        <v>0</v>
      </c>
      <c r="AN558">
        <v>0</v>
      </c>
      <c r="AO558">
        <v>0</v>
      </c>
      <c r="AP558">
        <v>1470</v>
      </c>
      <c r="AT558" t="str">
        <f t="shared" si="125"/>
        <v>9791137601710</v>
      </c>
      <c r="AV558" t="str">
        <f t="shared" si="113"/>
        <v>판타지 웹소설 &gt; 퓨전 판타지</v>
      </c>
    </row>
    <row r="559" spans="1:48" x14ac:dyDescent="0.4">
      <c r="A559">
        <v>2313017657</v>
      </c>
      <c r="B559">
        <v>2313017744</v>
      </c>
      <c r="C559" t="str">
        <f>T("회귀자의 슬기로운 복수생활 88화")</f>
        <v>회귀자의 슬기로운 복수생활 88화</v>
      </c>
      <c r="D559" t="str">
        <f>T("88")</f>
        <v>88</v>
      </c>
      <c r="E559" t="str">
        <f t="shared" si="123"/>
        <v>구공</v>
      </c>
      <c r="H559" t="str">
        <f t="shared" si="109"/>
        <v>스토리위즈</v>
      </c>
      <c r="I559" t="str">
        <f t="shared" si="124"/>
        <v>회귀자의 슬기로운 복수생활</v>
      </c>
      <c r="J559">
        <v>100</v>
      </c>
      <c r="K559">
        <v>2100</v>
      </c>
      <c r="L559">
        <v>21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2100</v>
      </c>
      <c r="AH559">
        <v>21</v>
      </c>
      <c r="AI559">
        <v>0</v>
      </c>
      <c r="AJ559">
        <v>0</v>
      </c>
      <c r="AK559">
        <v>2100</v>
      </c>
      <c r="AL559">
        <v>0</v>
      </c>
      <c r="AM559">
        <v>0</v>
      </c>
      <c r="AN559">
        <v>0</v>
      </c>
      <c r="AO559">
        <v>0</v>
      </c>
      <c r="AP559">
        <v>1470</v>
      </c>
      <c r="AT559" t="str">
        <f t="shared" si="125"/>
        <v>9791137601710</v>
      </c>
      <c r="AV559" t="str">
        <f t="shared" si="113"/>
        <v>판타지 웹소설 &gt; 퓨전 판타지</v>
      </c>
    </row>
    <row r="560" spans="1:48" x14ac:dyDescent="0.4">
      <c r="A560">
        <v>2313017657</v>
      </c>
      <c r="B560">
        <v>2313017746</v>
      </c>
      <c r="C560" t="str">
        <f>T("회귀자의 슬기로운 복수생활 90화")</f>
        <v>회귀자의 슬기로운 복수생활 90화</v>
      </c>
      <c r="D560" t="str">
        <f>T("90")</f>
        <v>90</v>
      </c>
      <c r="E560" t="str">
        <f t="shared" si="123"/>
        <v>구공</v>
      </c>
      <c r="H560" t="str">
        <f t="shared" si="109"/>
        <v>스토리위즈</v>
      </c>
      <c r="I560" t="str">
        <f t="shared" si="124"/>
        <v>회귀자의 슬기로운 복수생활</v>
      </c>
      <c r="J560">
        <v>100</v>
      </c>
      <c r="K560">
        <v>2100</v>
      </c>
      <c r="L560">
        <v>21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2100</v>
      </c>
      <c r="AH560">
        <v>21</v>
      </c>
      <c r="AI560">
        <v>0</v>
      </c>
      <c r="AJ560">
        <v>0</v>
      </c>
      <c r="AK560">
        <v>2100</v>
      </c>
      <c r="AL560">
        <v>0</v>
      </c>
      <c r="AM560">
        <v>0</v>
      </c>
      <c r="AN560">
        <v>0</v>
      </c>
      <c r="AO560">
        <v>0</v>
      </c>
      <c r="AP560">
        <v>1470</v>
      </c>
      <c r="AT560" t="str">
        <f t="shared" si="125"/>
        <v>9791137601710</v>
      </c>
      <c r="AV560" t="str">
        <f t="shared" si="113"/>
        <v>판타지 웹소설 &gt; 퓨전 판타지</v>
      </c>
    </row>
    <row r="561" spans="1:48" x14ac:dyDescent="0.4">
      <c r="A561">
        <v>2313017657</v>
      </c>
      <c r="B561">
        <v>2313017748</v>
      </c>
      <c r="C561" t="str">
        <f>T("회귀자의 슬기로운 복수생활 92화")</f>
        <v>회귀자의 슬기로운 복수생활 92화</v>
      </c>
      <c r="D561" t="str">
        <f>T("92")</f>
        <v>92</v>
      </c>
      <c r="E561" t="str">
        <f t="shared" si="123"/>
        <v>구공</v>
      </c>
      <c r="H561" t="str">
        <f t="shared" si="109"/>
        <v>스토리위즈</v>
      </c>
      <c r="I561" t="str">
        <f t="shared" si="124"/>
        <v>회귀자의 슬기로운 복수생활</v>
      </c>
      <c r="J561">
        <v>100</v>
      </c>
      <c r="K561">
        <v>2100</v>
      </c>
      <c r="L561">
        <v>21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2100</v>
      </c>
      <c r="AH561">
        <v>21</v>
      </c>
      <c r="AI561">
        <v>0</v>
      </c>
      <c r="AJ561">
        <v>0</v>
      </c>
      <c r="AK561">
        <v>2100</v>
      </c>
      <c r="AL561">
        <v>0</v>
      </c>
      <c r="AM561">
        <v>0</v>
      </c>
      <c r="AN561">
        <v>0</v>
      </c>
      <c r="AO561">
        <v>0</v>
      </c>
      <c r="AP561">
        <v>1470</v>
      </c>
      <c r="AT561" t="str">
        <f t="shared" si="125"/>
        <v>9791137601710</v>
      </c>
      <c r="AV561" t="str">
        <f t="shared" si="113"/>
        <v>판타지 웹소설 &gt; 퓨전 판타지</v>
      </c>
    </row>
    <row r="562" spans="1:48" x14ac:dyDescent="0.4">
      <c r="A562">
        <v>2313017657</v>
      </c>
      <c r="B562">
        <v>2313017751</v>
      </c>
      <c r="C562" t="str">
        <f>T("회귀자의 슬기로운 복수생활 95화")</f>
        <v>회귀자의 슬기로운 복수생활 95화</v>
      </c>
      <c r="D562" t="str">
        <f>T("95")</f>
        <v>95</v>
      </c>
      <c r="E562" t="str">
        <f t="shared" si="123"/>
        <v>구공</v>
      </c>
      <c r="H562" t="str">
        <f t="shared" si="109"/>
        <v>스토리위즈</v>
      </c>
      <c r="I562" t="str">
        <f t="shared" si="124"/>
        <v>회귀자의 슬기로운 복수생활</v>
      </c>
      <c r="J562">
        <v>100</v>
      </c>
      <c r="K562">
        <v>2100</v>
      </c>
      <c r="L562">
        <v>21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2100</v>
      </c>
      <c r="AH562">
        <v>21</v>
      </c>
      <c r="AI562">
        <v>0</v>
      </c>
      <c r="AJ562">
        <v>0</v>
      </c>
      <c r="AK562">
        <v>2100</v>
      </c>
      <c r="AL562">
        <v>0</v>
      </c>
      <c r="AM562">
        <v>0</v>
      </c>
      <c r="AN562">
        <v>0</v>
      </c>
      <c r="AO562">
        <v>0</v>
      </c>
      <c r="AP562">
        <v>1470</v>
      </c>
      <c r="AT562" t="str">
        <f t="shared" si="125"/>
        <v>9791137601710</v>
      </c>
      <c r="AV562" t="str">
        <f t="shared" si="113"/>
        <v>판타지 웹소설 &gt; 퓨전 판타지</v>
      </c>
    </row>
    <row r="563" spans="1:48" x14ac:dyDescent="0.4">
      <c r="A563">
        <v>2313017657</v>
      </c>
      <c r="B563">
        <v>2313017752</v>
      </c>
      <c r="C563" t="str">
        <f>T("회귀자의 슬기로운 복수생활 96화")</f>
        <v>회귀자의 슬기로운 복수생활 96화</v>
      </c>
      <c r="D563" t="str">
        <f>T("96")</f>
        <v>96</v>
      </c>
      <c r="E563" t="str">
        <f t="shared" si="123"/>
        <v>구공</v>
      </c>
      <c r="H563" t="str">
        <f t="shared" si="109"/>
        <v>스토리위즈</v>
      </c>
      <c r="I563" t="str">
        <f t="shared" si="124"/>
        <v>회귀자의 슬기로운 복수생활</v>
      </c>
      <c r="J563">
        <v>100</v>
      </c>
      <c r="K563">
        <v>2100</v>
      </c>
      <c r="L563">
        <v>21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2100</v>
      </c>
      <c r="AH563">
        <v>21</v>
      </c>
      <c r="AI563">
        <v>0</v>
      </c>
      <c r="AJ563">
        <v>0</v>
      </c>
      <c r="AK563">
        <v>2100</v>
      </c>
      <c r="AL563">
        <v>0</v>
      </c>
      <c r="AM563">
        <v>0</v>
      </c>
      <c r="AN563">
        <v>0</v>
      </c>
      <c r="AO563">
        <v>0</v>
      </c>
      <c r="AP563">
        <v>1470</v>
      </c>
      <c r="AT563" t="str">
        <f t="shared" si="125"/>
        <v>9791137601710</v>
      </c>
      <c r="AV563" t="str">
        <f t="shared" si="113"/>
        <v>판타지 웹소설 &gt; 퓨전 판타지</v>
      </c>
    </row>
    <row r="564" spans="1:48" x14ac:dyDescent="0.4">
      <c r="A564">
        <v>2313017657</v>
      </c>
      <c r="B564">
        <v>2313017753</v>
      </c>
      <c r="C564" t="str">
        <f>T("회귀자의 슬기로운 복수생활 97화")</f>
        <v>회귀자의 슬기로운 복수생활 97화</v>
      </c>
      <c r="D564" t="str">
        <f>T("97")</f>
        <v>97</v>
      </c>
      <c r="E564" t="str">
        <f t="shared" si="123"/>
        <v>구공</v>
      </c>
      <c r="H564" t="str">
        <f t="shared" si="109"/>
        <v>스토리위즈</v>
      </c>
      <c r="I564" t="str">
        <f t="shared" si="124"/>
        <v>회귀자의 슬기로운 복수생활</v>
      </c>
      <c r="J564">
        <v>100</v>
      </c>
      <c r="K564">
        <v>2100</v>
      </c>
      <c r="L564">
        <v>21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2100</v>
      </c>
      <c r="AH564">
        <v>21</v>
      </c>
      <c r="AI564">
        <v>0</v>
      </c>
      <c r="AJ564">
        <v>0</v>
      </c>
      <c r="AK564">
        <v>2100</v>
      </c>
      <c r="AL564">
        <v>0</v>
      </c>
      <c r="AM564">
        <v>0</v>
      </c>
      <c r="AN564">
        <v>0</v>
      </c>
      <c r="AO564">
        <v>0</v>
      </c>
      <c r="AP564">
        <v>1470</v>
      </c>
      <c r="AT564" t="str">
        <f t="shared" si="125"/>
        <v>9791137601710</v>
      </c>
      <c r="AV564" t="str">
        <f t="shared" si="113"/>
        <v>판타지 웹소설 &gt; 퓨전 판타지</v>
      </c>
    </row>
    <row r="565" spans="1:48" x14ac:dyDescent="0.4">
      <c r="A565">
        <v>2313017657</v>
      </c>
      <c r="B565">
        <v>2313017754</v>
      </c>
      <c r="C565" t="str">
        <f>T("회귀자의 슬기로운 복수생활 98화")</f>
        <v>회귀자의 슬기로운 복수생활 98화</v>
      </c>
      <c r="D565" t="str">
        <f>T("98")</f>
        <v>98</v>
      </c>
      <c r="E565" t="str">
        <f t="shared" si="123"/>
        <v>구공</v>
      </c>
      <c r="H565" t="str">
        <f t="shared" si="109"/>
        <v>스토리위즈</v>
      </c>
      <c r="I565" t="str">
        <f t="shared" si="124"/>
        <v>회귀자의 슬기로운 복수생활</v>
      </c>
      <c r="J565">
        <v>100</v>
      </c>
      <c r="K565">
        <v>2100</v>
      </c>
      <c r="L565">
        <v>21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2100</v>
      </c>
      <c r="AH565">
        <v>21</v>
      </c>
      <c r="AI565">
        <v>0</v>
      </c>
      <c r="AJ565">
        <v>0</v>
      </c>
      <c r="AK565">
        <v>2100</v>
      </c>
      <c r="AL565">
        <v>0</v>
      </c>
      <c r="AM565">
        <v>0</v>
      </c>
      <c r="AN565">
        <v>0</v>
      </c>
      <c r="AO565">
        <v>0</v>
      </c>
      <c r="AP565">
        <v>1470</v>
      </c>
      <c r="AT565" t="str">
        <f t="shared" si="125"/>
        <v>9791137601710</v>
      </c>
      <c r="AV565" t="str">
        <f t="shared" si="113"/>
        <v>판타지 웹소설 &gt; 퓨전 판타지</v>
      </c>
    </row>
    <row r="566" spans="1:48" x14ac:dyDescent="0.4">
      <c r="A566">
        <v>2313007845</v>
      </c>
      <c r="B566">
        <v>2313007893</v>
      </c>
      <c r="C566" t="str">
        <f>T("간신이 나라를 살림 49화")</f>
        <v>간신이 나라를 살림 49화</v>
      </c>
      <c r="D566" t="str">
        <f>T("49")</f>
        <v>49</v>
      </c>
      <c r="E566" t="str">
        <f>T("루이세")</f>
        <v>루이세</v>
      </c>
      <c r="H566" t="str">
        <f t="shared" si="109"/>
        <v>스토리위즈</v>
      </c>
      <c r="I566" t="str">
        <f>T("간신이 나라를 살림")</f>
        <v>간신이 나라를 살림</v>
      </c>
      <c r="J566">
        <v>100</v>
      </c>
      <c r="K566">
        <v>2000</v>
      </c>
      <c r="L566">
        <v>20</v>
      </c>
      <c r="M566">
        <v>0</v>
      </c>
      <c r="N566">
        <v>0</v>
      </c>
      <c r="O566">
        <v>0</v>
      </c>
      <c r="P566">
        <v>222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2000</v>
      </c>
      <c r="AH566">
        <v>242</v>
      </c>
      <c r="AI566">
        <v>0</v>
      </c>
      <c r="AJ566">
        <v>1</v>
      </c>
      <c r="AK566">
        <v>2000</v>
      </c>
      <c r="AL566">
        <v>0</v>
      </c>
      <c r="AM566">
        <v>0</v>
      </c>
      <c r="AN566">
        <v>0</v>
      </c>
      <c r="AO566">
        <v>0</v>
      </c>
      <c r="AP566">
        <v>1400</v>
      </c>
      <c r="AT566" t="str">
        <f>T("9791159284663")</f>
        <v>9791159284663</v>
      </c>
      <c r="AV566" t="str">
        <f t="shared" si="113"/>
        <v>판타지 웹소설 &gt; 퓨전 판타지</v>
      </c>
    </row>
    <row r="567" spans="1:48" x14ac:dyDescent="0.4">
      <c r="A567">
        <v>2313007845</v>
      </c>
      <c r="B567">
        <v>2313007902</v>
      </c>
      <c r="C567" t="str">
        <f>T("간신이 나라를 살림 58화")</f>
        <v>간신이 나라를 살림 58화</v>
      </c>
      <c r="D567" t="str">
        <f>T("58")</f>
        <v>58</v>
      </c>
      <c r="E567" t="str">
        <f>T("루이세")</f>
        <v>루이세</v>
      </c>
      <c r="H567" t="str">
        <f t="shared" si="109"/>
        <v>스토리위즈</v>
      </c>
      <c r="I567" t="str">
        <f>T("간신이 나라를 살림")</f>
        <v>간신이 나라를 살림</v>
      </c>
      <c r="J567">
        <v>100</v>
      </c>
      <c r="K567">
        <v>2000</v>
      </c>
      <c r="L567">
        <v>20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2000</v>
      </c>
      <c r="AH567">
        <v>20</v>
      </c>
      <c r="AI567">
        <v>0</v>
      </c>
      <c r="AJ567">
        <v>0</v>
      </c>
      <c r="AK567">
        <v>2000</v>
      </c>
      <c r="AL567">
        <v>0</v>
      </c>
      <c r="AM567">
        <v>0</v>
      </c>
      <c r="AN567">
        <v>0</v>
      </c>
      <c r="AO567">
        <v>0</v>
      </c>
      <c r="AP567">
        <v>1400</v>
      </c>
      <c r="AT567" t="str">
        <f>T("9791159284663")</f>
        <v>9791159284663</v>
      </c>
      <c r="AV567" t="str">
        <f t="shared" si="113"/>
        <v>판타지 웹소설 &gt; 퓨전 판타지</v>
      </c>
    </row>
    <row r="568" spans="1:48" x14ac:dyDescent="0.4">
      <c r="A568">
        <v>2313007845</v>
      </c>
      <c r="B568">
        <v>2313007904</v>
      </c>
      <c r="C568" t="str">
        <f>T("간신이 나라를 살림 60화")</f>
        <v>간신이 나라를 살림 60화</v>
      </c>
      <c r="D568" t="str">
        <f>T("60")</f>
        <v>60</v>
      </c>
      <c r="E568" t="str">
        <f>T("루이세")</f>
        <v>루이세</v>
      </c>
      <c r="H568" t="str">
        <f t="shared" si="109"/>
        <v>스토리위즈</v>
      </c>
      <c r="I568" t="str">
        <f>T("간신이 나라를 살림")</f>
        <v>간신이 나라를 살림</v>
      </c>
      <c r="J568">
        <v>100</v>
      </c>
      <c r="K568">
        <v>2000</v>
      </c>
      <c r="L568">
        <v>20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2000</v>
      </c>
      <c r="AH568">
        <v>20</v>
      </c>
      <c r="AI568">
        <v>0</v>
      </c>
      <c r="AJ568">
        <v>0</v>
      </c>
      <c r="AK568">
        <v>2000</v>
      </c>
      <c r="AL568">
        <v>0</v>
      </c>
      <c r="AM568">
        <v>0</v>
      </c>
      <c r="AN568">
        <v>0</v>
      </c>
      <c r="AO568">
        <v>0</v>
      </c>
      <c r="AP568">
        <v>1400</v>
      </c>
      <c r="AT568" t="str">
        <f>T("9791159284663")</f>
        <v>9791159284663</v>
      </c>
      <c r="AV568" t="str">
        <f t="shared" si="113"/>
        <v>판타지 웹소설 &gt; 퓨전 판타지</v>
      </c>
    </row>
    <row r="569" spans="1:48" x14ac:dyDescent="0.4">
      <c r="A569">
        <v>2313007845</v>
      </c>
      <c r="B569">
        <v>2313007906</v>
      </c>
      <c r="C569" t="str">
        <f>T("간신이 나라를 살림 62화")</f>
        <v>간신이 나라를 살림 62화</v>
      </c>
      <c r="D569" t="str">
        <f>T("62")</f>
        <v>62</v>
      </c>
      <c r="E569" t="str">
        <f>T("루이세")</f>
        <v>루이세</v>
      </c>
      <c r="H569" t="str">
        <f t="shared" si="109"/>
        <v>스토리위즈</v>
      </c>
      <c r="I569" t="str">
        <f>T("간신이 나라를 살림")</f>
        <v>간신이 나라를 살림</v>
      </c>
      <c r="J569">
        <v>100</v>
      </c>
      <c r="K569">
        <v>2000</v>
      </c>
      <c r="L569">
        <v>20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2000</v>
      </c>
      <c r="AH569">
        <v>20</v>
      </c>
      <c r="AI569">
        <v>0</v>
      </c>
      <c r="AJ569">
        <v>0</v>
      </c>
      <c r="AK569">
        <v>2000</v>
      </c>
      <c r="AL569">
        <v>0</v>
      </c>
      <c r="AM569">
        <v>0</v>
      </c>
      <c r="AN569">
        <v>0</v>
      </c>
      <c r="AO569">
        <v>0</v>
      </c>
      <c r="AP569">
        <v>1400</v>
      </c>
      <c r="AT569" t="str">
        <f>T("9791159284663")</f>
        <v>9791159284663</v>
      </c>
      <c r="AV569" t="str">
        <f t="shared" si="113"/>
        <v>판타지 웹소설 &gt; 퓨전 판타지</v>
      </c>
    </row>
    <row r="570" spans="1:48" x14ac:dyDescent="0.4">
      <c r="A570">
        <v>2313017657</v>
      </c>
      <c r="B570">
        <v>2313017741</v>
      </c>
      <c r="C570" t="str">
        <f>T("회귀자의 슬기로운 복수생활 85화")</f>
        <v>회귀자의 슬기로운 복수생활 85화</v>
      </c>
      <c r="D570" t="str">
        <f>T("85")</f>
        <v>85</v>
      </c>
      <c r="E570" t="str">
        <f>T("구공")</f>
        <v>구공</v>
      </c>
      <c r="H570" t="str">
        <f t="shared" si="109"/>
        <v>스토리위즈</v>
      </c>
      <c r="I570" t="str">
        <f>T("회귀자의 슬기로운 복수생활")</f>
        <v>회귀자의 슬기로운 복수생활</v>
      </c>
      <c r="J570">
        <v>100</v>
      </c>
      <c r="K570">
        <v>2000</v>
      </c>
      <c r="L570">
        <v>20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2000</v>
      </c>
      <c r="AH570">
        <v>20</v>
      </c>
      <c r="AI570">
        <v>0</v>
      </c>
      <c r="AJ570">
        <v>0</v>
      </c>
      <c r="AK570">
        <v>2000</v>
      </c>
      <c r="AL570">
        <v>0</v>
      </c>
      <c r="AM570">
        <v>0</v>
      </c>
      <c r="AN570">
        <v>0</v>
      </c>
      <c r="AO570">
        <v>0</v>
      </c>
      <c r="AP570">
        <v>1400</v>
      </c>
      <c r="AT570" t="str">
        <f>T("9791137601710")</f>
        <v>9791137601710</v>
      </c>
      <c r="AV570" t="str">
        <f t="shared" si="113"/>
        <v>판타지 웹소설 &gt; 퓨전 판타지</v>
      </c>
    </row>
    <row r="571" spans="1:48" x14ac:dyDescent="0.4">
      <c r="A571">
        <v>2313017657</v>
      </c>
      <c r="B571">
        <v>2313017742</v>
      </c>
      <c r="C571" t="str">
        <f>T("회귀자의 슬기로운 복수생활 86화")</f>
        <v>회귀자의 슬기로운 복수생활 86화</v>
      </c>
      <c r="D571" t="str">
        <f>T("86")</f>
        <v>86</v>
      </c>
      <c r="E571" t="str">
        <f>T("구공")</f>
        <v>구공</v>
      </c>
      <c r="H571" t="str">
        <f t="shared" si="109"/>
        <v>스토리위즈</v>
      </c>
      <c r="I571" t="str">
        <f>T("회귀자의 슬기로운 복수생활")</f>
        <v>회귀자의 슬기로운 복수생활</v>
      </c>
      <c r="J571">
        <v>100</v>
      </c>
      <c r="K571">
        <v>2000</v>
      </c>
      <c r="L571">
        <v>20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2000</v>
      </c>
      <c r="AH571">
        <v>20</v>
      </c>
      <c r="AI571">
        <v>0</v>
      </c>
      <c r="AJ571">
        <v>0</v>
      </c>
      <c r="AK571">
        <v>2000</v>
      </c>
      <c r="AL571">
        <v>0</v>
      </c>
      <c r="AM571">
        <v>0</v>
      </c>
      <c r="AN571">
        <v>0</v>
      </c>
      <c r="AO571">
        <v>0</v>
      </c>
      <c r="AP571">
        <v>1400</v>
      </c>
      <c r="AT571" t="str">
        <f>T("9791137601710")</f>
        <v>9791137601710</v>
      </c>
      <c r="AV571" t="str">
        <f t="shared" si="113"/>
        <v>판타지 웹소설 &gt; 퓨전 판타지</v>
      </c>
    </row>
    <row r="572" spans="1:48" x14ac:dyDescent="0.4">
      <c r="A572">
        <v>2313017657</v>
      </c>
      <c r="B572">
        <v>2313017743</v>
      </c>
      <c r="C572" t="str">
        <f>T("회귀자의 슬기로운 복수생활 87화")</f>
        <v>회귀자의 슬기로운 복수생활 87화</v>
      </c>
      <c r="D572" t="str">
        <f>T("87")</f>
        <v>87</v>
      </c>
      <c r="E572" t="str">
        <f>T("구공")</f>
        <v>구공</v>
      </c>
      <c r="H572" t="str">
        <f t="shared" si="109"/>
        <v>스토리위즈</v>
      </c>
      <c r="I572" t="str">
        <f>T("회귀자의 슬기로운 복수생활")</f>
        <v>회귀자의 슬기로운 복수생활</v>
      </c>
      <c r="J572">
        <v>100</v>
      </c>
      <c r="K572">
        <v>2000</v>
      </c>
      <c r="L572">
        <v>20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2000</v>
      </c>
      <c r="AH572">
        <v>20</v>
      </c>
      <c r="AI572">
        <v>0</v>
      </c>
      <c r="AJ572">
        <v>0</v>
      </c>
      <c r="AK572">
        <v>2000</v>
      </c>
      <c r="AL572">
        <v>0</v>
      </c>
      <c r="AM572">
        <v>0</v>
      </c>
      <c r="AN572">
        <v>0</v>
      </c>
      <c r="AO572">
        <v>0</v>
      </c>
      <c r="AP572">
        <v>1400</v>
      </c>
      <c r="AT572" t="str">
        <f>T("9791137601710")</f>
        <v>9791137601710</v>
      </c>
      <c r="AV572" t="str">
        <f t="shared" si="113"/>
        <v>판타지 웹소설 &gt; 퓨전 판타지</v>
      </c>
    </row>
    <row r="573" spans="1:48" x14ac:dyDescent="0.4">
      <c r="A573">
        <v>2313017657</v>
      </c>
      <c r="B573">
        <v>2313017749</v>
      </c>
      <c r="C573" t="str">
        <f>T("회귀자의 슬기로운 복수생활 93화")</f>
        <v>회귀자의 슬기로운 복수생활 93화</v>
      </c>
      <c r="D573" t="str">
        <f>T("93")</f>
        <v>93</v>
      </c>
      <c r="E573" t="str">
        <f>T("구공")</f>
        <v>구공</v>
      </c>
      <c r="H573" t="str">
        <f t="shared" si="109"/>
        <v>스토리위즈</v>
      </c>
      <c r="I573" t="str">
        <f>T("회귀자의 슬기로운 복수생활")</f>
        <v>회귀자의 슬기로운 복수생활</v>
      </c>
      <c r="J573">
        <v>100</v>
      </c>
      <c r="K573">
        <v>2000</v>
      </c>
      <c r="L573">
        <v>20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2000</v>
      </c>
      <c r="AH573">
        <v>20</v>
      </c>
      <c r="AI573">
        <v>0</v>
      </c>
      <c r="AJ573">
        <v>0</v>
      </c>
      <c r="AK573">
        <v>2000</v>
      </c>
      <c r="AL573">
        <v>0</v>
      </c>
      <c r="AM573">
        <v>0</v>
      </c>
      <c r="AN573">
        <v>0</v>
      </c>
      <c r="AO573">
        <v>0</v>
      </c>
      <c r="AP573">
        <v>1400</v>
      </c>
      <c r="AT573" t="str">
        <f>T("9791137601710")</f>
        <v>9791137601710</v>
      </c>
      <c r="AV573" t="str">
        <f t="shared" si="113"/>
        <v>판타지 웹소설 &gt; 퓨전 판타지</v>
      </c>
    </row>
    <row r="574" spans="1:48" x14ac:dyDescent="0.4">
      <c r="A574">
        <v>2313017657</v>
      </c>
      <c r="B574">
        <v>2313017750</v>
      </c>
      <c r="C574" t="str">
        <f>T("회귀자의 슬기로운 복수생활 94화")</f>
        <v>회귀자의 슬기로운 복수생활 94화</v>
      </c>
      <c r="D574" t="str">
        <f>T("94")</f>
        <v>94</v>
      </c>
      <c r="E574" t="str">
        <f>T("구공")</f>
        <v>구공</v>
      </c>
      <c r="H574" t="str">
        <f t="shared" si="109"/>
        <v>스토리위즈</v>
      </c>
      <c r="I574" t="str">
        <f>T("회귀자의 슬기로운 복수생활")</f>
        <v>회귀자의 슬기로운 복수생활</v>
      </c>
      <c r="J574">
        <v>100</v>
      </c>
      <c r="K574">
        <v>2000</v>
      </c>
      <c r="L574">
        <v>20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2000</v>
      </c>
      <c r="AH574">
        <v>20</v>
      </c>
      <c r="AI574">
        <v>0</v>
      </c>
      <c r="AJ574">
        <v>0</v>
      </c>
      <c r="AK574">
        <v>2000</v>
      </c>
      <c r="AL574">
        <v>0</v>
      </c>
      <c r="AM574">
        <v>0</v>
      </c>
      <c r="AN574">
        <v>0</v>
      </c>
      <c r="AO574">
        <v>0</v>
      </c>
      <c r="AP574">
        <v>1400</v>
      </c>
      <c r="AT574" t="str">
        <f>T("9791137601710")</f>
        <v>9791137601710</v>
      </c>
      <c r="AV574" t="str">
        <f t="shared" si="113"/>
        <v>판타지 웹소설 &gt; 퓨전 판타지</v>
      </c>
    </row>
    <row r="575" spans="1:48" x14ac:dyDescent="0.4">
      <c r="A575">
        <v>2313007845</v>
      </c>
      <c r="B575">
        <v>2313007894</v>
      </c>
      <c r="C575" t="str">
        <f>T("간신이 나라를 살림 50화")</f>
        <v>간신이 나라를 살림 50화</v>
      </c>
      <c r="D575" t="str">
        <f>T("50")</f>
        <v>50</v>
      </c>
      <c r="E575" t="str">
        <f t="shared" ref="E575:E580" si="126">T("루이세")</f>
        <v>루이세</v>
      </c>
      <c r="H575" t="str">
        <f t="shared" si="109"/>
        <v>스토리위즈</v>
      </c>
      <c r="I575" t="str">
        <f t="shared" ref="I575:I580" si="127">T("간신이 나라를 살림")</f>
        <v>간신이 나라를 살림</v>
      </c>
      <c r="J575">
        <v>100</v>
      </c>
      <c r="K575">
        <v>1900</v>
      </c>
      <c r="L575">
        <v>19</v>
      </c>
      <c r="M575">
        <v>0</v>
      </c>
      <c r="N575">
        <v>0</v>
      </c>
      <c r="O575">
        <v>0</v>
      </c>
      <c r="P575">
        <v>325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1900</v>
      </c>
      <c r="AH575">
        <v>344</v>
      </c>
      <c r="AI575">
        <v>0</v>
      </c>
      <c r="AJ575">
        <v>0</v>
      </c>
      <c r="AK575">
        <v>1900</v>
      </c>
      <c r="AL575">
        <v>0</v>
      </c>
      <c r="AM575">
        <v>0</v>
      </c>
      <c r="AN575">
        <v>0</v>
      </c>
      <c r="AO575">
        <v>0</v>
      </c>
      <c r="AP575">
        <v>1330</v>
      </c>
      <c r="AT575" t="str">
        <f t="shared" ref="AT575:AT580" si="128">T("9791159284663")</f>
        <v>9791159284663</v>
      </c>
      <c r="AV575" t="str">
        <f t="shared" si="113"/>
        <v>판타지 웹소설 &gt; 퓨전 판타지</v>
      </c>
    </row>
    <row r="576" spans="1:48" x14ac:dyDescent="0.4">
      <c r="A576">
        <v>2313007845</v>
      </c>
      <c r="B576">
        <v>2313007903</v>
      </c>
      <c r="C576" t="str">
        <f>T("간신이 나라를 살림 59화")</f>
        <v>간신이 나라를 살림 59화</v>
      </c>
      <c r="D576" t="str">
        <f>T("59")</f>
        <v>59</v>
      </c>
      <c r="E576" t="str">
        <f t="shared" si="126"/>
        <v>루이세</v>
      </c>
      <c r="H576" t="str">
        <f t="shared" si="109"/>
        <v>스토리위즈</v>
      </c>
      <c r="I576" t="str">
        <f t="shared" si="127"/>
        <v>간신이 나라를 살림</v>
      </c>
      <c r="J576">
        <v>100</v>
      </c>
      <c r="K576">
        <v>1900</v>
      </c>
      <c r="L576">
        <v>19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1900</v>
      </c>
      <c r="AH576">
        <v>19</v>
      </c>
      <c r="AI576">
        <v>0</v>
      </c>
      <c r="AJ576">
        <v>0</v>
      </c>
      <c r="AK576">
        <v>1900</v>
      </c>
      <c r="AL576">
        <v>0</v>
      </c>
      <c r="AM576">
        <v>0</v>
      </c>
      <c r="AN576">
        <v>0</v>
      </c>
      <c r="AO576">
        <v>0</v>
      </c>
      <c r="AP576">
        <v>1330</v>
      </c>
      <c r="AT576" t="str">
        <f t="shared" si="128"/>
        <v>9791159284663</v>
      </c>
      <c r="AV576" t="str">
        <f t="shared" si="113"/>
        <v>판타지 웹소설 &gt; 퓨전 판타지</v>
      </c>
    </row>
    <row r="577" spans="1:48" x14ac:dyDescent="0.4">
      <c r="A577">
        <v>2313007845</v>
      </c>
      <c r="B577">
        <v>2313007905</v>
      </c>
      <c r="C577" t="str">
        <f>T("간신이 나라를 살림 61화")</f>
        <v>간신이 나라를 살림 61화</v>
      </c>
      <c r="D577" t="str">
        <f>T("61")</f>
        <v>61</v>
      </c>
      <c r="E577" t="str">
        <f t="shared" si="126"/>
        <v>루이세</v>
      </c>
      <c r="H577" t="str">
        <f t="shared" si="109"/>
        <v>스토리위즈</v>
      </c>
      <c r="I577" t="str">
        <f t="shared" si="127"/>
        <v>간신이 나라를 살림</v>
      </c>
      <c r="J577">
        <v>100</v>
      </c>
      <c r="K577">
        <v>1900</v>
      </c>
      <c r="L577">
        <v>19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1900</v>
      </c>
      <c r="AH577">
        <v>19</v>
      </c>
      <c r="AI577">
        <v>0</v>
      </c>
      <c r="AJ577">
        <v>0</v>
      </c>
      <c r="AK577">
        <v>1900</v>
      </c>
      <c r="AL577">
        <v>0</v>
      </c>
      <c r="AM577">
        <v>0</v>
      </c>
      <c r="AN577">
        <v>0</v>
      </c>
      <c r="AO577">
        <v>0</v>
      </c>
      <c r="AP577">
        <v>1330</v>
      </c>
      <c r="AT577" t="str">
        <f t="shared" si="128"/>
        <v>9791159284663</v>
      </c>
      <c r="AV577" t="str">
        <f t="shared" si="113"/>
        <v>판타지 웹소설 &gt; 퓨전 판타지</v>
      </c>
    </row>
    <row r="578" spans="1:48" x14ac:dyDescent="0.4">
      <c r="A578">
        <v>2313007845</v>
      </c>
      <c r="B578">
        <v>2313007907</v>
      </c>
      <c r="C578" t="str">
        <f>T("간신이 나라를 살림 63화")</f>
        <v>간신이 나라를 살림 63화</v>
      </c>
      <c r="D578" t="str">
        <f>T("63")</f>
        <v>63</v>
      </c>
      <c r="E578" t="str">
        <f t="shared" si="126"/>
        <v>루이세</v>
      </c>
      <c r="H578" t="str">
        <f t="shared" ref="H578:H627" si="129">T("스토리위즈")</f>
        <v>스토리위즈</v>
      </c>
      <c r="I578" t="str">
        <f t="shared" si="127"/>
        <v>간신이 나라를 살림</v>
      </c>
      <c r="J578">
        <v>100</v>
      </c>
      <c r="K578">
        <v>1900</v>
      </c>
      <c r="L578">
        <v>19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1900</v>
      </c>
      <c r="AH578">
        <v>19</v>
      </c>
      <c r="AI578">
        <v>0</v>
      </c>
      <c r="AJ578">
        <v>0</v>
      </c>
      <c r="AK578">
        <v>1900</v>
      </c>
      <c r="AL578">
        <v>0</v>
      </c>
      <c r="AM578">
        <v>0</v>
      </c>
      <c r="AN578">
        <v>0</v>
      </c>
      <c r="AO578">
        <v>0</v>
      </c>
      <c r="AP578">
        <v>1330</v>
      </c>
      <c r="AT578" t="str">
        <f t="shared" si="128"/>
        <v>9791159284663</v>
      </c>
      <c r="AV578" t="str">
        <f t="shared" si="113"/>
        <v>판타지 웹소설 &gt; 퓨전 판타지</v>
      </c>
    </row>
    <row r="579" spans="1:48" x14ac:dyDescent="0.4">
      <c r="A579">
        <v>2313007845</v>
      </c>
      <c r="B579">
        <v>2313007908</v>
      </c>
      <c r="C579" t="str">
        <f>T("간신이 나라를 살림 64화")</f>
        <v>간신이 나라를 살림 64화</v>
      </c>
      <c r="D579" t="str">
        <f>T("64")</f>
        <v>64</v>
      </c>
      <c r="E579" t="str">
        <f t="shared" si="126"/>
        <v>루이세</v>
      </c>
      <c r="H579" t="str">
        <f t="shared" si="129"/>
        <v>스토리위즈</v>
      </c>
      <c r="I579" t="str">
        <f t="shared" si="127"/>
        <v>간신이 나라를 살림</v>
      </c>
      <c r="J579">
        <v>100</v>
      </c>
      <c r="K579">
        <v>1900</v>
      </c>
      <c r="L579">
        <v>19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1900</v>
      </c>
      <c r="AH579">
        <v>19</v>
      </c>
      <c r="AI579">
        <v>0</v>
      </c>
      <c r="AJ579">
        <v>0</v>
      </c>
      <c r="AK579">
        <v>1900</v>
      </c>
      <c r="AL579">
        <v>0</v>
      </c>
      <c r="AM579">
        <v>0</v>
      </c>
      <c r="AN579">
        <v>0</v>
      </c>
      <c r="AO579">
        <v>0</v>
      </c>
      <c r="AP579">
        <v>1330</v>
      </c>
      <c r="AT579" t="str">
        <f t="shared" si="128"/>
        <v>9791159284663</v>
      </c>
      <c r="AV579" t="str">
        <f t="shared" si="113"/>
        <v>판타지 웹소설 &gt; 퓨전 판타지</v>
      </c>
    </row>
    <row r="580" spans="1:48" x14ac:dyDescent="0.4">
      <c r="A580">
        <v>2313007845</v>
      </c>
      <c r="B580">
        <v>2313007932</v>
      </c>
      <c r="C580" t="str">
        <f>T("간신이 나라를 살림 88화")</f>
        <v>간신이 나라를 살림 88화</v>
      </c>
      <c r="D580" t="str">
        <f>T("88")</f>
        <v>88</v>
      </c>
      <c r="E580" t="str">
        <f t="shared" si="126"/>
        <v>루이세</v>
      </c>
      <c r="H580" t="str">
        <f t="shared" si="129"/>
        <v>스토리위즈</v>
      </c>
      <c r="I580" t="str">
        <f t="shared" si="127"/>
        <v>간신이 나라를 살림</v>
      </c>
      <c r="J580">
        <v>100</v>
      </c>
      <c r="K580">
        <v>1900</v>
      </c>
      <c r="L580">
        <v>19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-100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1900</v>
      </c>
      <c r="AH580">
        <v>19</v>
      </c>
      <c r="AI580">
        <v>-100</v>
      </c>
      <c r="AJ580">
        <v>1</v>
      </c>
      <c r="AK580">
        <v>1900</v>
      </c>
      <c r="AL580">
        <v>-100</v>
      </c>
      <c r="AM580">
        <v>0</v>
      </c>
      <c r="AN580">
        <v>0</v>
      </c>
      <c r="AO580">
        <v>0</v>
      </c>
      <c r="AP580">
        <v>1260</v>
      </c>
      <c r="AT580" t="str">
        <f t="shared" si="128"/>
        <v>9791159284663</v>
      </c>
      <c r="AV580" t="str">
        <f t="shared" si="113"/>
        <v>판타지 웹소설 &gt; 퓨전 판타지</v>
      </c>
    </row>
    <row r="581" spans="1:48" x14ac:dyDescent="0.4">
      <c r="A581">
        <v>2313017657</v>
      </c>
      <c r="B581">
        <v>2313017755</v>
      </c>
      <c r="C581" t="str">
        <f>T("회귀자의 슬기로운 복수생활 99화")</f>
        <v>회귀자의 슬기로운 복수생활 99화</v>
      </c>
      <c r="D581" t="str">
        <f>T("99")</f>
        <v>99</v>
      </c>
      <c r="E581" t="str">
        <f>T("구공")</f>
        <v>구공</v>
      </c>
      <c r="H581" t="str">
        <f t="shared" si="129"/>
        <v>스토리위즈</v>
      </c>
      <c r="I581" t="str">
        <f>T("회귀자의 슬기로운 복수생활")</f>
        <v>회귀자의 슬기로운 복수생활</v>
      </c>
      <c r="J581">
        <v>100</v>
      </c>
      <c r="K581">
        <v>1900</v>
      </c>
      <c r="L581">
        <v>19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1900</v>
      </c>
      <c r="AH581">
        <v>19</v>
      </c>
      <c r="AI581">
        <v>0</v>
      </c>
      <c r="AJ581">
        <v>0</v>
      </c>
      <c r="AK581">
        <v>1900</v>
      </c>
      <c r="AL581">
        <v>0</v>
      </c>
      <c r="AM581">
        <v>0</v>
      </c>
      <c r="AN581">
        <v>0</v>
      </c>
      <c r="AO581">
        <v>0</v>
      </c>
      <c r="AP581">
        <v>1330</v>
      </c>
      <c r="AT581" t="str">
        <f>T("9791137601710")</f>
        <v>9791137601710</v>
      </c>
      <c r="AV581" t="str">
        <f t="shared" si="113"/>
        <v>판타지 웹소설 &gt; 퓨전 판타지</v>
      </c>
    </row>
    <row r="582" spans="1:48" x14ac:dyDescent="0.4">
      <c r="A582">
        <v>2313017657</v>
      </c>
      <c r="B582">
        <v>2313017756</v>
      </c>
      <c r="C582" t="str">
        <f>T("회귀자의 슬기로운 복수생활 100화")</f>
        <v>회귀자의 슬기로운 복수생활 100화</v>
      </c>
      <c r="D582" t="str">
        <f>T("100")</f>
        <v>100</v>
      </c>
      <c r="E582" t="str">
        <f>T("구공")</f>
        <v>구공</v>
      </c>
      <c r="H582" t="str">
        <f t="shared" si="129"/>
        <v>스토리위즈</v>
      </c>
      <c r="I582" t="str">
        <f>T("회귀자의 슬기로운 복수생활")</f>
        <v>회귀자의 슬기로운 복수생활</v>
      </c>
      <c r="J582">
        <v>100</v>
      </c>
      <c r="K582">
        <v>1900</v>
      </c>
      <c r="L582">
        <v>19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1900</v>
      </c>
      <c r="AH582">
        <v>19</v>
      </c>
      <c r="AI582">
        <v>0</v>
      </c>
      <c r="AJ582">
        <v>0</v>
      </c>
      <c r="AK582">
        <v>1900</v>
      </c>
      <c r="AL582">
        <v>0</v>
      </c>
      <c r="AM582">
        <v>0</v>
      </c>
      <c r="AN582">
        <v>0</v>
      </c>
      <c r="AO582">
        <v>0</v>
      </c>
      <c r="AP582">
        <v>1330</v>
      </c>
      <c r="AT582" t="str">
        <f>T("9791137601710")</f>
        <v>9791137601710</v>
      </c>
      <c r="AV582" t="str">
        <f t="shared" si="113"/>
        <v>판타지 웹소설 &gt; 퓨전 판타지</v>
      </c>
    </row>
    <row r="583" spans="1:48" x14ac:dyDescent="0.4">
      <c r="A583">
        <v>2313017657</v>
      </c>
      <c r="B583">
        <v>2313017856</v>
      </c>
      <c r="C583" t="str">
        <f>T("회귀자의 슬기로운 복수생활 200화 (완결)")</f>
        <v>회귀자의 슬기로운 복수생활 200화 (완결)</v>
      </c>
      <c r="D583" t="str">
        <f>T("200")</f>
        <v>200</v>
      </c>
      <c r="E583" t="str">
        <f>T("구공")</f>
        <v>구공</v>
      </c>
      <c r="H583" t="str">
        <f t="shared" si="129"/>
        <v>스토리위즈</v>
      </c>
      <c r="I583" t="str">
        <f>T("회귀자의 슬기로운 복수생활")</f>
        <v>회귀자의 슬기로운 복수생활</v>
      </c>
      <c r="J583">
        <v>100</v>
      </c>
      <c r="K583">
        <v>1900</v>
      </c>
      <c r="L583">
        <v>19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1900</v>
      </c>
      <c r="AH583">
        <v>19</v>
      </c>
      <c r="AI583">
        <v>0</v>
      </c>
      <c r="AJ583">
        <v>0</v>
      </c>
      <c r="AK583">
        <v>1900</v>
      </c>
      <c r="AL583">
        <v>0</v>
      </c>
      <c r="AM583">
        <v>0</v>
      </c>
      <c r="AN583">
        <v>0</v>
      </c>
      <c r="AO583">
        <v>0</v>
      </c>
      <c r="AP583">
        <v>1330</v>
      </c>
      <c r="AT583" t="str">
        <f>T("9791137601710")</f>
        <v>9791137601710</v>
      </c>
      <c r="AV583" t="str">
        <f t="shared" si="113"/>
        <v>판타지 웹소설 &gt; 퓨전 판타지</v>
      </c>
    </row>
    <row r="584" spans="1:48" x14ac:dyDescent="0.4">
      <c r="A584">
        <v>2313007845</v>
      </c>
      <c r="B584">
        <v>2313007930</v>
      </c>
      <c r="C584" t="str">
        <f>T("간신이 나라를 살림 86화")</f>
        <v>간신이 나라를 살림 86화</v>
      </c>
      <c r="D584" t="str">
        <f>T("86")</f>
        <v>86</v>
      </c>
      <c r="E584" t="str">
        <f>T("루이세")</f>
        <v>루이세</v>
      </c>
      <c r="H584" t="str">
        <f t="shared" si="129"/>
        <v>스토리위즈</v>
      </c>
      <c r="I584" t="str">
        <f>T("간신이 나라를 살림")</f>
        <v>간신이 나라를 살림</v>
      </c>
      <c r="J584">
        <v>100</v>
      </c>
      <c r="K584">
        <v>1800</v>
      </c>
      <c r="L584">
        <v>18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1800</v>
      </c>
      <c r="AH584">
        <v>18</v>
      </c>
      <c r="AI584">
        <v>0</v>
      </c>
      <c r="AJ584">
        <v>0</v>
      </c>
      <c r="AK584">
        <v>1800</v>
      </c>
      <c r="AL584">
        <v>0</v>
      </c>
      <c r="AM584">
        <v>0</v>
      </c>
      <c r="AN584">
        <v>0</v>
      </c>
      <c r="AO584">
        <v>0</v>
      </c>
      <c r="AP584">
        <v>1260</v>
      </c>
      <c r="AT584" t="str">
        <f>T("9791159284663")</f>
        <v>9791159284663</v>
      </c>
      <c r="AV584" t="str">
        <f t="shared" si="113"/>
        <v>판타지 웹소설 &gt; 퓨전 판타지</v>
      </c>
    </row>
    <row r="585" spans="1:48" x14ac:dyDescent="0.4">
      <c r="A585">
        <v>2313012849</v>
      </c>
      <c r="B585">
        <v>2313012901</v>
      </c>
      <c r="C585" t="str">
        <f>T("디버프 마스터 53화")</f>
        <v>디버프 마스터 53화</v>
      </c>
      <c r="D585" t="str">
        <f>T("53")</f>
        <v>53</v>
      </c>
      <c r="E585" t="str">
        <f>T("담화공")</f>
        <v>담화공</v>
      </c>
      <c r="H585" t="str">
        <f t="shared" si="129"/>
        <v>스토리위즈</v>
      </c>
      <c r="I585" t="str">
        <f>T("디버프 마스터")</f>
        <v>디버프 마스터</v>
      </c>
      <c r="J585">
        <v>100</v>
      </c>
      <c r="K585">
        <v>1800</v>
      </c>
      <c r="L585">
        <v>18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1800</v>
      </c>
      <c r="AH585">
        <v>18</v>
      </c>
      <c r="AI585">
        <v>0</v>
      </c>
      <c r="AJ585">
        <v>0</v>
      </c>
      <c r="AK585">
        <v>1700</v>
      </c>
      <c r="AL585">
        <v>0</v>
      </c>
      <c r="AM585">
        <v>119.05</v>
      </c>
      <c r="AN585">
        <v>-35.72</v>
      </c>
      <c r="AO585">
        <v>0</v>
      </c>
      <c r="AP585">
        <v>1248.33</v>
      </c>
      <c r="AT585" t="str">
        <f>T("9791137602663")</f>
        <v>9791137602663</v>
      </c>
      <c r="AV585" t="str">
        <f t="shared" ref="AV585:AV627" si="130">T("판타지 웹소설 &gt; 퓨전 판타지")</f>
        <v>판타지 웹소설 &gt; 퓨전 판타지</v>
      </c>
    </row>
    <row r="586" spans="1:48" x14ac:dyDescent="0.4">
      <c r="A586">
        <v>2313012849</v>
      </c>
      <c r="B586">
        <v>2313012902</v>
      </c>
      <c r="C586" t="str">
        <f>T("디버프 마스터 54화")</f>
        <v>디버프 마스터 54화</v>
      </c>
      <c r="D586" t="str">
        <f>T("54")</f>
        <v>54</v>
      </c>
      <c r="E586" t="str">
        <f>T("담화공")</f>
        <v>담화공</v>
      </c>
      <c r="H586" t="str">
        <f t="shared" si="129"/>
        <v>스토리위즈</v>
      </c>
      <c r="I586" t="str">
        <f>T("디버프 마스터")</f>
        <v>디버프 마스터</v>
      </c>
      <c r="J586">
        <v>100</v>
      </c>
      <c r="K586">
        <v>1800</v>
      </c>
      <c r="L586">
        <v>18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1800</v>
      </c>
      <c r="AH586">
        <v>18</v>
      </c>
      <c r="AI586">
        <v>0</v>
      </c>
      <c r="AJ586">
        <v>0</v>
      </c>
      <c r="AK586">
        <v>1700</v>
      </c>
      <c r="AL586">
        <v>0</v>
      </c>
      <c r="AM586">
        <v>119.05</v>
      </c>
      <c r="AN586">
        <v>-35.72</v>
      </c>
      <c r="AO586">
        <v>0</v>
      </c>
      <c r="AP586">
        <v>1248.33</v>
      </c>
      <c r="AT586" t="str">
        <f>T("9791137602663")</f>
        <v>9791137602663</v>
      </c>
      <c r="AV586" t="str">
        <f t="shared" si="130"/>
        <v>판타지 웹소설 &gt; 퓨전 판타지</v>
      </c>
    </row>
    <row r="587" spans="1:48" x14ac:dyDescent="0.4">
      <c r="A587">
        <v>2313012849</v>
      </c>
      <c r="B587">
        <v>2313012903</v>
      </c>
      <c r="C587" t="str">
        <f>T("디버프 마스터 55화")</f>
        <v>디버프 마스터 55화</v>
      </c>
      <c r="D587" t="str">
        <f>T("55")</f>
        <v>55</v>
      </c>
      <c r="E587" t="str">
        <f>T("담화공")</f>
        <v>담화공</v>
      </c>
      <c r="H587" t="str">
        <f t="shared" si="129"/>
        <v>스토리위즈</v>
      </c>
      <c r="I587" t="str">
        <f>T("디버프 마스터")</f>
        <v>디버프 마스터</v>
      </c>
      <c r="J587">
        <v>100</v>
      </c>
      <c r="K587">
        <v>1800</v>
      </c>
      <c r="L587">
        <v>18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1800</v>
      </c>
      <c r="AH587">
        <v>18</v>
      </c>
      <c r="AI587">
        <v>0</v>
      </c>
      <c r="AJ587">
        <v>0</v>
      </c>
      <c r="AK587">
        <v>1700</v>
      </c>
      <c r="AL587">
        <v>0</v>
      </c>
      <c r="AM587">
        <v>119.05</v>
      </c>
      <c r="AN587">
        <v>-35.72</v>
      </c>
      <c r="AO587">
        <v>0</v>
      </c>
      <c r="AP587">
        <v>1248.33</v>
      </c>
      <c r="AT587" t="str">
        <f>T("9791137602663")</f>
        <v>9791137602663</v>
      </c>
      <c r="AV587" t="str">
        <f t="shared" si="130"/>
        <v>판타지 웹소설 &gt; 퓨전 판타지</v>
      </c>
    </row>
    <row r="588" spans="1:48" x14ac:dyDescent="0.4">
      <c r="A588">
        <v>2313017657</v>
      </c>
      <c r="B588">
        <v>2313017758</v>
      </c>
      <c r="C588" t="str">
        <f>T("회귀자의 슬기로운 복수생활 102화")</f>
        <v>회귀자의 슬기로운 복수생활 102화</v>
      </c>
      <c r="D588" t="str">
        <f>T("102")</f>
        <v>102</v>
      </c>
      <c r="E588" t="str">
        <f>T("구공")</f>
        <v>구공</v>
      </c>
      <c r="H588" t="str">
        <f t="shared" si="129"/>
        <v>스토리위즈</v>
      </c>
      <c r="I588" t="str">
        <f>T("회귀자의 슬기로운 복수생활")</f>
        <v>회귀자의 슬기로운 복수생활</v>
      </c>
      <c r="J588">
        <v>100</v>
      </c>
      <c r="K588">
        <v>1800</v>
      </c>
      <c r="L588">
        <v>18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1800</v>
      </c>
      <c r="AH588">
        <v>18</v>
      </c>
      <c r="AI588">
        <v>0</v>
      </c>
      <c r="AJ588">
        <v>0</v>
      </c>
      <c r="AK588">
        <v>1800</v>
      </c>
      <c r="AL588">
        <v>0</v>
      </c>
      <c r="AM588">
        <v>0</v>
      </c>
      <c r="AN588">
        <v>0</v>
      </c>
      <c r="AO588">
        <v>0</v>
      </c>
      <c r="AP588">
        <v>1260</v>
      </c>
      <c r="AT588" t="str">
        <f>T("9791137601710")</f>
        <v>9791137601710</v>
      </c>
      <c r="AV588" t="str">
        <f t="shared" si="130"/>
        <v>판타지 웹소설 &gt; 퓨전 판타지</v>
      </c>
    </row>
    <row r="589" spans="1:48" x14ac:dyDescent="0.4">
      <c r="A589">
        <v>2313017657</v>
      </c>
      <c r="B589">
        <v>2313017761</v>
      </c>
      <c r="C589" t="str">
        <f>T("회귀자의 슬기로운 복수생활 105화")</f>
        <v>회귀자의 슬기로운 복수생활 105화</v>
      </c>
      <c r="D589" t="str">
        <f>T("105")</f>
        <v>105</v>
      </c>
      <c r="E589" t="str">
        <f>T("구공")</f>
        <v>구공</v>
      </c>
      <c r="H589" t="str">
        <f t="shared" si="129"/>
        <v>스토리위즈</v>
      </c>
      <c r="I589" t="str">
        <f>T("회귀자의 슬기로운 복수생활")</f>
        <v>회귀자의 슬기로운 복수생활</v>
      </c>
      <c r="J589">
        <v>100</v>
      </c>
      <c r="K589">
        <v>1800</v>
      </c>
      <c r="L589">
        <v>18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1800</v>
      </c>
      <c r="AH589">
        <v>18</v>
      </c>
      <c r="AI589">
        <v>0</v>
      </c>
      <c r="AJ589">
        <v>0</v>
      </c>
      <c r="AK589">
        <v>1800</v>
      </c>
      <c r="AL589">
        <v>0</v>
      </c>
      <c r="AM589">
        <v>0</v>
      </c>
      <c r="AN589">
        <v>0</v>
      </c>
      <c r="AO589">
        <v>0</v>
      </c>
      <c r="AP589">
        <v>1260</v>
      </c>
      <c r="AT589" t="str">
        <f>T("9791137601710")</f>
        <v>9791137601710</v>
      </c>
      <c r="AV589" t="str">
        <f t="shared" si="130"/>
        <v>판타지 웹소설 &gt; 퓨전 판타지</v>
      </c>
    </row>
    <row r="590" spans="1:48" x14ac:dyDescent="0.4">
      <c r="A590">
        <v>2313007845</v>
      </c>
      <c r="B590">
        <v>2313007909</v>
      </c>
      <c r="C590" t="str">
        <f>T("간신이 나라를 살림 65화")</f>
        <v>간신이 나라를 살림 65화</v>
      </c>
      <c r="D590" t="str">
        <f>T("65")</f>
        <v>65</v>
      </c>
      <c r="E590" t="str">
        <f t="shared" ref="E590:E608" si="131">T("루이세")</f>
        <v>루이세</v>
      </c>
      <c r="H590" t="str">
        <f t="shared" si="129"/>
        <v>스토리위즈</v>
      </c>
      <c r="I590" t="str">
        <f t="shared" ref="I590:I608" si="132">T("간신이 나라를 살림")</f>
        <v>간신이 나라를 살림</v>
      </c>
      <c r="J590">
        <v>100</v>
      </c>
      <c r="K590">
        <v>1700</v>
      </c>
      <c r="L590">
        <v>17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1700</v>
      </c>
      <c r="AH590">
        <v>17</v>
      </c>
      <c r="AI590">
        <v>0</v>
      </c>
      <c r="AJ590">
        <v>0</v>
      </c>
      <c r="AK590">
        <v>1700</v>
      </c>
      <c r="AL590">
        <v>0</v>
      </c>
      <c r="AM590">
        <v>0</v>
      </c>
      <c r="AN590">
        <v>0</v>
      </c>
      <c r="AO590">
        <v>0</v>
      </c>
      <c r="AP590">
        <v>1190</v>
      </c>
      <c r="AT590" t="str">
        <f t="shared" ref="AT590:AT608" si="133">T("9791159284663")</f>
        <v>9791159284663</v>
      </c>
      <c r="AV590" t="str">
        <f t="shared" si="130"/>
        <v>판타지 웹소설 &gt; 퓨전 판타지</v>
      </c>
    </row>
    <row r="591" spans="1:48" x14ac:dyDescent="0.4">
      <c r="A591">
        <v>2313007845</v>
      </c>
      <c r="B591">
        <v>2313007910</v>
      </c>
      <c r="C591" t="str">
        <f>T("간신이 나라를 살림 66화")</f>
        <v>간신이 나라를 살림 66화</v>
      </c>
      <c r="D591" t="str">
        <f>T("66")</f>
        <v>66</v>
      </c>
      <c r="E591" t="str">
        <f t="shared" si="131"/>
        <v>루이세</v>
      </c>
      <c r="H591" t="str">
        <f t="shared" si="129"/>
        <v>스토리위즈</v>
      </c>
      <c r="I591" t="str">
        <f t="shared" si="132"/>
        <v>간신이 나라를 살림</v>
      </c>
      <c r="J591">
        <v>100</v>
      </c>
      <c r="K591">
        <v>1700</v>
      </c>
      <c r="L591">
        <v>17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1700</v>
      </c>
      <c r="AH591">
        <v>17</v>
      </c>
      <c r="AI591">
        <v>0</v>
      </c>
      <c r="AJ591">
        <v>0</v>
      </c>
      <c r="AK591">
        <v>1700</v>
      </c>
      <c r="AL591">
        <v>0</v>
      </c>
      <c r="AM591">
        <v>0</v>
      </c>
      <c r="AN591">
        <v>0</v>
      </c>
      <c r="AO591">
        <v>0</v>
      </c>
      <c r="AP591">
        <v>1190</v>
      </c>
      <c r="AT591" t="str">
        <f t="shared" si="133"/>
        <v>9791159284663</v>
      </c>
      <c r="AV591" t="str">
        <f t="shared" si="130"/>
        <v>판타지 웹소설 &gt; 퓨전 판타지</v>
      </c>
    </row>
    <row r="592" spans="1:48" x14ac:dyDescent="0.4">
      <c r="A592">
        <v>2313007845</v>
      </c>
      <c r="B592">
        <v>2313007911</v>
      </c>
      <c r="C592" t="str">
        <f>T("간신이 나라를 살림 67화")</f>
        <v>간신이 나라를 살림 67화</v>
      </c>
      <c r="D592" t="str">
        <f>T("67")</f>
        <v>67</v>
      </c>
      <c r="E592" t="str">
        <f t="shared" si="131"/>
        <v>루이세</v>
      </c>
      <c r="H592" t="str">
        <f t="shared" si="129"/>
        <v>스토리위즈</v>
      </c>
      <c r="I592" t="str">
        <f t="shared" si="132"/>
        <v>간신이 나라를 살림</v>
      </c>
      <c r="J592">
        <v>100</v>
      </c>
      <c r="K592">
        <v>1700</v>
      </c>
      <c r="L592">
        <v>17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1700</v>
      </c>
      <c r="AH592">
        <v>17</v>
      </c>
      <c r="AI592">
        <v>0</v>
      </c>
      <c r="AJ592">
        <v>0</v>
      </c>
      <c r="AK592">
        <v>1700</v>
      </c>
      <c r="AL592">
        <v>0</v>
      </c>
      <c r="AM592">
        <v>0</v>
      </c>
      <c r="AN592">
        <v>0</v>
      </c>
      <c r="AO592">
        <v>0</v>
      </c>
      <c r="AP592">
        <v>1190</v>
      </c>
      <c r="AT592" t="str">
        <f t="shared" si="133"/>
        <v>9791159284663</v>
      </c>
      <c r="AV592" t="str">
        <f t="shared" si="130"/>
        <v>판타지 웹소설 &gt; 퓨전 판타지</v>
      </c>
    </row>
    <row r="593" spans="1:48" x14ac:dyDescent="0.4">
      <c r="A593">
        <v>2313007845</v>
      </c>
      <c r="B593">
        <v>2313007921</v>
      </c>
      <c r="C593" t="str">
        <f>T("간신이 나라를 살림 77화")</f>
        <v>간신이 나라를 살림 77화</v>
      </c>
      <c r="D593" t="str">
        <f>T("77")</f>
        <v>77</v>
      </c>
      <c r="E593" t="str">
        <f t="shared" si="131"/>
        <v>루이세</v>
      </c>
      <c r="H593" t="str">
        <f t="shared" si="129"/>
        <v>스토리위즈</v>
      </c>
      <c r="I593" t="str">
        <f t="shared" si="132"/>
        <v>간신이 나라를 살림</v>
      </c>
      <c r="J593">
        <v>100</v>
      </c>
      <c r="K593">
        <v>1700</v>
      </c>
      <c r="L593">
        <v>17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1700</v>
      </c>
      <c r="AH593">
        <v>17</v>
      </c>
      <c r="AI593">
        <v>0</v>
      </c>
      <c r="AJ593">
        <v>0</v>
      </c>
      <c r="AK593">
        <v>1700</v>
      </c>
      <c r="AL593">
        <v>0</v>
      </c>
      <c r="AM593">
        <v>0</v>
      </c>
      <c r="AN593">
        <v>0</v>
      </c>
      <c r="AO593">
        <v>0</v>
      </c>
      <c r="AP593">
        <v>1190</v>
      </c>
      <c r="AT593" t="str">
        <f t="shared" si="133"/>
        <v>9791159284663</v>
      </c>
      <c r="AV593" t="str">
        <f t="shared" si="130"/>
        <v>판타지 웹소설 &gt; 퓨전 판타지</v>
      </c>
    </row>
    <row r="594" spans="1:48" x14ac:dyDescent="0.4">
      <c r="A594">
        <v>2313007845</v>
      </c>
      <c r="B594">
        <v>2313007922</v>
      </c>
      <c r="C594" t="str">
        <f>T("간신이 나라를 살림 78화")</f>
        <v>간신이 나라를 살림 78화</v>
      </c>
      <c r="D594" t="str">
        <f>T("78")</f>
        <v>78</v>
      </c>
      <c r="E594" t="str">
        <f t="shared" si="131"/>
        <v>루이세</v>
      </c>
      <c r="H594" t="str">
        <f t="shared" si="129"/>
        <v>스토리위즈</v>
      </c>
      <c r="I594" t="str">
        <f t="shared" si="132"/>
        <v>간신이 나라를 살림</v>
      </c>
      <c r="J594">
        <v>100</v>
      </c>
      <c r="K594">
        <v>1700</v>
      </c>
      <c r="L594">
        <v>17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1700</v>
      </c>
      <c r="AH594">
        <v>17</v>
      </c>
      <c r="AI594">
        <v>0</v>
      </c>
      <c r="AJ594">
        <v>0</v>
      </c>
      <c r="AK594">
        <v>1700</v>
      </c>
      <c r="AL594">
        <v>0</v>
      </c>
      <c r="AM594">
        <v>0</v>
      </c>
      <c r="AN594">
        <v>0</v>
      </c>
      <c r="AO594">
        <v>0</v>
      </c>
      <c r="AP594">
        <v>1190</v>
      </c>
      <c r="AT594" t="str">
        <f t="shared" si="133"/>
        <v>9791159284663</v>
      </c>
      <c r="AV594" t="str">
        <f t="shared" si="130"/>
        <v>판타지 웹소설 &gt; 퓨전 판타지</v>
      </c>
    </row>
    <row r="595" spans="1:48" x14ac:dyDescent="0.4">
      <c r="A595">
        <v>2313007845</v>
      </c>
      <c r="B595">
        <v>2313007923</v>
      </c>
      <c r="C595" t="str">
        <f>T("간신이 나라를 살림 79화")</f>
        <v>간신이 나라를 살림 79화</v>
      </c>
      <c r="D595" t="str">
        <f>T("79")</f>
        <v>79</v>
      </c>
      <c r="E595" t="str">
        <f t="shared" si="131"/>
        <v>루이세</v>
      </c>
      <c r="H595" t="str">
        <f t="shared" si="129"/>
        <v>스토리위즈</v>
      </c>
      <c r="I595" t="str">
        <f t="shared" si="132"/>
        <v>간신이 나라를 살림</v>
      </c>
      <c r="J595">
        <v>100</v>
      </c>
      <c r="K595">
        <v>1700</v>
      </c>
      <c r="L595">
        <v>17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1700</v>
      </c>
      <c r="AH595">
        <v>17</v>
      </c>
      <c r="AI595">
        <v>0</v>
      </c>
      <c r="AJ595">
        <v>0</v>
      </c>
      <c r="AK595">
        <v>1700</v>
      </c>
      <c r="AL595">
        <v>0</v>
      </c>
      <c r="AM595">
        <v>0</v>
      </c>
      <c r="AN595">
        <v>0</v>
      </c>
      <c r="AO595">
        <v>0</v>
      </c>
      <c r="AP595">
        <v>1190</v>
      </c>
      <c r="AT595" t="str">
        <f t="shared" si="133"/>
        <v>9791159284663</v>
      </c>
      <c r="AV595" t="str">
        <f t="shared" si="130"/>
        <v>판타지 웹소설 &gt; 퓨전 판타지</v>
      </c>
    </row>
    <row r="596" spans="1:48" x14ac:dyDescent="0.4">
      <c r="A596">
        <v>2313007845</v>
      </c>
      <c r="B596">
        <v>2313007924</v>
      </c>
      <c r="C596" t="str">
        <f>T("간신이 나라를 살림 80화")</f>
        <v>간신이 나라를 살림 80화</v>
      </c>
      <c r="D596" t="str">
        <f>T("80")</f>
        <v>80</v>
      </c>
      <c r="E596" t="str">
        <f t="shared" si="131"/>
        <v>루이세</v>
      </c>
      <c r="H596" t="str">
        <f t="shared" si="129"/>
        <v>스토리위즈</v>
      </c>
      <c r="I596" t="str">
        <f t="shared" si="132"/>
        <v>간신이 나라를 살림</v>
      </c>
      <c r="J596">
        <v>100</v>
      </c>
      <c r="K596">
        <v>1700</v>
      </c>
      <c r="L596">
        <v>17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1700</v>
      </c>
      <c r="AH596">
        <v>17</v>
      </c>
      <c r="AI596">
        <v>0</v>
      </c>
      <c r="AJ596">
        <v>0</v>
      </c>
      <c r="AK596">
        <v>1700</v>
      </c>
      <c r="AL596">
        <v>0</v>
      </c>
      <c r="AM596">
        <v>0</v>
      </c>
      <c r="AN596">
        <v>0</v>
      </c>
      <c r="AO596">
        <v>0</v>
      </c>
      <c r="AP596">
        <v>1190</v>
      </c>
      <c r="AT596" t="str">
        <f t="shared" si="133"/>
        <v>9791159284663</v>
      </c>
      <c r="AV596" t="str">
        <f t="shared" si="130"/>
        <v>판타지 웹소설 &gt; 퓨전 판타지</v>
      </c>
    </row>
    <row r="597" spans="1:48" x14ac:dyDescent="0.4">
      <c r="A597">
        <v>2313007845</v>
      </c>
      <c r="B597">
        <v>2313007925</v>
      </c>
      <c r="C597" t="str">
        <f>T("간신이 나라를 살림 81화")</f>
        <v>간신이 나라를 살림 81화</v>
      </c>
      <c r="D597" t="str">
        <f>T("81")</f>
        <v>81</v>
      </c>
      <c r="E597" t="str">
        <f t="shared" si="131"/>
        <v>루이세</v>
      </c>
      <c r="H597" t="str">
        <f t="shared" si="129"/>
        <v>스토리위즈</v>
      </c>
      <c r="I597" t="str">
        <f t="shared" si="132"/>
        <v>간신이 나라를 살림</v>
      </c>
      <c r="J597">
        <v>100</v>
      </c>
      <c r="K597">
        <v>1700</v>
      </c>
      <c r="L597">
        <v>17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1700</v>
      </c>
      <c r="AH597">
        <v>17</v>
      </c>
      <c r="AI597">
        <v>0</v>
      </c>
      <c r="AJ597">
        <v>0</v>
      </c>
      <c r="AK597">
        <v>1700</v>
      </c>
      <c r="AL597">
        <v>0</v>
      </c>
      <c r="AM597">
        <v>0</v>
      </c>
      <c r="AN597">
        <v>0</v>
      </c>
      <c r="AO597">
        <v>0</v>
      </c>
      <c r="AP597">
        <v>1190</v>
      </c>
      <c r="AT597" t="str">
        <f t="shared" si="133"/>
        <v>9791159284663</v>
      </c>
      <c r="AV597" t="str">
        <f t="shared" si="130"/>
        <v>판타지 웹소설 &gt; 퓨전 판타지</v>
      </c>
    </row>
    <row r="598" spans="1:48" x14ac:dyDescent="0.4">
      <c r="A598">
        <v>2313007845</v>
      </c>
      <c r="B598">
        <v>2313007927</v>
      </c>
      <c r="C598" t="str">
        <f>T("간신이 나라를 살림 83화")</f>
        <v>간신이 나라를 살림 83화</v>
      </c>
      <c r="D598" t="str">
        <f>T("83")</f>
        <v>83</v>
      </c>
      <c r="E598" t="str">
        <f t="shared" si="131"/>
        <v>루이세</v>
      </c>
      <c r="H598" t="str">
        <f t="shared" si="129"/>
        <v>스토리위즈</v>
      </c>
      <c r="I598" t="str">
        <f t="shared" si="132"/>
        <v>간신이 나라를 살림</v>
      </c>
      <c r="J598">
        <v>100</v>
      </c>
      <c r="K598">
        <v>1700</v>
      </c>
      <c r="L598">
        <v>17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1700</v>
      </c>
      <c r="AH598">
        <v>17</v>
      </c>
      <c r="AI598">
        <v>0</v>
      </c>
      <c r="AJ598">
        <v>0</v>
      </c>
      <c r="AK598">
        <v>1700</v>
      </c>
      <c r="AL598">
        <v>0</v>
      </c>
      <c r="AM598">
        <v>0</v>
      </c>
      <c r="AN598">
        <v>0</v>
      </c>
      <c r="AO598">
        <v>0</v>
      </c>
      <c r="AP598">
        <v>1190</v>
      </c>
      <c r="AT598" t="str">
        <f t="shared" si="133"/>
        <v>9791159284663</v>
      </c>
      <c r="AV598" t="str">
        <f t="shared" si="130"/>
        <v>판타지 웹소설 &gt; 퓨전 판타지</v>
      </c>
    </row>
    <row r="599" spans="1:48" x14ac:dyDescent="0.4">
      <c r="A599">
        <v>2313007845</v>
      </c>
      <c r="B599">
        <v>2313007928</v>
      </c>
      <c r="C599" t="str">
        <f>T("간신이 나라를 살림 84화")</f>
        <v>간신이 나라를 살림 84화</v>
      </c>
      <c r="D599" t="str">
        <f>T("84")</f>
        <v>84</v>
      </c>
      <c r="E599" t="str">
        <f t="shared" si="131"/>
        <v>루이세</v>
      </c>
      <c r="H599" t="str">
        <f t="shared" si="129"/>
        <v>스토리위즈</v>
      </c>
      <c r="I599" t="str">
        <f t="shared" si="132"/>
        <v>간신이 나라를 살림</v>
      </c>
      <c r="J599">
        <v>100</v>
      </c>
      <c r="K599">
        <v>1700</v>
      </c>
      <c r="L599">
        <v>17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1700</v>
      </c>
      <c r="AH599">
        <v>17</v>
      </c>
      <c r="AI599">
        <v>0</v>
      </c>
      <c r="AJ599">
        <v>0</v>
      </c>
      <c r="AK599">
        <v>1700</v>
      </c>
      <c r="AL599">
        <v>0</v>
      </c>
      <c r="AM599">
        <v>0</v>
      </c>
      <c r="AN599">
        <v>0</v>
      </c>
      <c r="AO599">
        <v>0</v>
      </c>
      <c r="AP599">
        <v>1190</v>
      </c>
      <c r="AT599" t="str">
        <f t="shared" si="133"/>
        <v>9791159284663</v>
      </c>
      <c r="AV599" t="str">
        <f t="shared" si="130"/>
        <v>판타지 웹소설 &gt; 퓨전 판타지</v>
      </c>
    </row>
    <row r="600" spans="1:48" x14ac:dyDescent="0.4">
      <c r="A600">
        <v>2313007845</v>
      </c>
      <c r="B600">
        <v>2313007929</v>
      </c>
      <c r="C600" t="str">
        <f>T("간신이 나라를 살림 85화")</f>
        <v>간신이 나라를 살림 85화</v>
      </c>
      <c r="D600" t="str">
        <f>T("85")</f>
        <v>85</v>
      </c>
      <c r="E600" t="str">
        <f t="shared" si="131"/>
        <v>루이세</v>
      </c>
      <c r="H600" t="str">
        <f t="shared" si="129"/>
        <v>스토리위즈</v>
      </c>
      <c r="I600" t="str">
        <f t="shared" si="132"/>
        <v>간신이 나라를 살림</v>
      </c>
      <c r="J600">
        <v>100</v>
      </c>
      <c r="K600">
        <v>1700</v>
      </c>
      <c r="L600">
        <v>17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1700</v>
      </c>
      <c r="AH600">
        <v>17</v>
      </c>
      <c r="AI600">
        <v>0</v>
      </c>
      <c r="AJ600">
        <v>0</v>
      </c>
      <c r="AK600">
        <v>1700</v>
      </c>
      <c r="AL600">
        <v>0</v>
      </c>
      <c r="AM600">
        <v>0</v>
      </c>
      <c r="AN600">
        <v>0</v>
      </c>
      <c r="AO600">
        <v>0</v>
      </c>
      <c r="AP600">
        <v>1190</v>
      </c>
      <c r="AT600" t="str">
        <f t="shared" si="133"/>
        <v>9791159284663</v>
      </c>
      <c r="AV600" t="str">
        <f t="shared" si="130"/>
        <v>판타지 웹소설 &gt; 퓨전 판타지</v>
      </c>
    </row>
    <row r="601" spans="1:48" x14ac:dyDescent="0.4">
      <c r="A601">
        <v>2313007845</v>
      </c>
      <c r="B601">
        <v>2313007931</v>
      </c>
      <c r="C601" t="str">
        <f>T("간신이 나라를 살림 87화")</f>
        <v>간신이 나라를 살림 87화</v>
      </c>
      <c r="D601" t="str">
        <f>T("87")</f>
        <v>87</v>
      </c>
      <c r="E601" t="str">
        <f t="shared" si="131"/>
        <v>루이세</v>
      </c>
      <c r="H601" t="str">
        <f t="shared" si="129"/>
        <v>스토리위즈</v>
      </c>
      <c r="I601" t="str">
        <f t="shared" si="132"/>
        <v>간신이 나라를 살림</v>
      </c>
      <c r="J601">
        <v>100</v>
      </c>
      <c r="K601">
        <v>1700</v>
      </c>
      <c r="L601">
        <v>17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1700</v>
      </c>
      <c r="AH601">
        <v>17</v>
      </c>
      <c r="AI601">
        <v>0</v>
      </c>
      <c r="AJ601">
        <v>0</v>
      </c>
      <c r="AK601">
        <v>1700</v>
      </c>
      <c r="AL601">
        <v>0</v>
      </c>
      <c r="AM601">
        <v>0</v>
      </c>
      <c r="AN601">
        <v>0</v>
      </c>
      <c r="AO601">
        <v>0</v>
      </c>
      <c r="AP601">
        <v>1190</v>
      </c>
      <c r="AT601" t="str">
        <f t="shared" si="133"/>
        <v>9791159284663</v>
      </c>
      <c r="AV601" t="str">
        <f t="shared" si="130"/>
        <v>판타지 웹소설 &gt; 퓨전 판타지</v>
      </c>
    </row>
    <row r="602" spans="1:48" x14ac:dyDescent="0.4">
      <c r="A602">
        <v>2313007845</v>
      </c>
      <c r="B602">
        <v>2313007933</v>
      </c>
      <c r="C602" t="str">
        <f>T("간신이 나라를 살림 89화")</f>
        <v>간신이 나라를 살림 89화</v>
      </c>
      <c r="D602" t="str">
        <f>T("89")</f>
        <v>89</v>
      </c>
      <c r="E602" t="str">
        <f t="shared" si="131"/>
        <v>루이세</v>
      </c>
      <c r="H602" t="str">
        <f t="shared" si="129"/>
        <v>스토리위즈</v>
      </c>
      <c r="I602" t="str">
        <f t="shared" si="132"/>
        <v>간신이 나라를 살림</v>
      </c>
      <c r="J602">
        <v>100</v>
      </c>
      <c r="K602">
        <v>1700</v>
      </c>
      <c r="L602">
        <v>17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1700</v>
      </c>
      <c r="AH602">
        <v>17</v>
      </c>
      <c r="AI602">
        <v>0</v>
      </c>
      <c r="AJ602">
        <v>0</v>
      </c>
      <c r="AK602">
        <v>1700</v>
      </c>
      <c r="AL602">
        <v>0</v>
      </c>
      <c r="AM602">
        <v>0</v>
      </c>
      <c r="AN602">
        <v>0</v>
      </c>
      <c r="AO602">
        <v>0</v>
      </c>
      <c r="AP602">
        <v>1190</v>
      </c>
      <c r="AT602" t="str">
        <f t="shared" si="133"/>
        <v>9791159284663</v>
      </c>
      <c r="AV602" t="str">
        <f t="shared" si="130"/>
        <v>판타지 웹소설 &gt; 퓨전 판타지</v>
      </c>
    </row>
    <row r="603" spans="1:48" x14ac:dyDescent="0.4">
      <c r="A603">
        <v>2313007845</v>
      </c>
      <c r="B603">
        <v>2313007934</v>
      </c>
      <c r="C603" t="str">
        <f>T("간신이 나라를 살림 90화")</f>
        <v>간신이 나라를 살림 90화</v>
      </c>
      <c r="D603" t="str">
        <f>T("90")</f>
        <v>90</v>
      </c>
      <c r="E603" t="str">
        <f t="shared" si="131"/>
        <v>루이세</v>
      </c>
      <c r="H603" t="str">
        <f t="shared" si="129"/>
        <v>스토리위즈</v>
      </c>
      <c r="I603" t="str">
        <f t="shared" si="132"/>
        <v>간신이 나라를 살림</v>
      </c>
      <c r="J603">
        <v>100</v>
      </c>
      <c r="K603">
        <v>1700</v>
      </c>
      <c r="L603">
        <v>17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1700</v>
      </c>
      <c r="AH603">
        <v>17</v>
      </c>
      <c r="AI603">
        <v>0</v>
      </c>
      <c r="AJ603">
        <v>0</v>
      </c>
      <c r="AK603">
        <v>1700</v>
      </c>
      <c r="AL603">
        <v>0</v>
      </c>
      <c r="AM603">
        <v>0</v>
      </c>
      <c r="AN603">
        <v>0</v>
      </c>
      <c r="AO603">
        <v>0</v>
      </c>
      <c r="AP603">
        <v>1190</v>
      </c>
      <c r="AT603" t="str">
        <f t="shared" si="133"/>
        <v>9791159284663</v>
      </c>
      <c r="AV603" t="str">
        <f t="shared" si="130"/>
        <v>판타지 웹소설 &gt; 퓨전 판타지</v>
      </c>
    </row>
    <row r="604" spans="1:48" x14ac:dyDescent="0.4">
      <c r="A604">
        <v>2313007845</v>
      </c>
      <c r="B604">
        <v>2313007935</v>
      </c>
      <c r="C604" t="str">
        <f>T("간신이 나라를 살림 91화")</f>
        <v>간신이 나라를 살림 91화</v>
      </c>
      <c r="D604" t="str">
        <f>T("91")</f>
        <v>91</v>
      </c>
      <c r="E604" t="str">
        <f t="shared" si="131"/>
        <v>루이세</v>
      </c>
      <c r="H604" t="str">
        <f t="shared" si="129"/>
        <v>스토리위즈</v>
      </c>
      <c r="I604" t="str">
        <f t="shared" si="132"/>
        <v>간신이 나라를 살림</v>
      </c>
      <c r="J604">
        <v>100</v>
      </c>
      <c r="K604">
        <v>1700</v>
      </c>
      <c r="L604">
        <v>17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1700</v>
      </c>
      <c r="AH604">
        <v>17</v>
      </c>
      <c r="AI604">
        <v>0</v>
      </c>
      <c r="AJ604">
        <v>0</v>
      </c>
      <c r="AK604">
        <v>1700</v>
      </c>
      <c r="AL604">
        <v>0</v>
      </c>
      <c r="AM604">
        <v>0</v>
      </c>
      <c r="AN604">
        <v>0</v>
      </c>
      <c r="AO604">
        <v>0</v>
      </c>
      <c r="AP604">
        <v>1190</v>
      </c>
      <c r="AT604" t="str">
        <f t="shared" si="133"/>
        <v>9791159284663</v>
      </c>
      <c r="AV604" t="str">
        <f t="shared" si="130"/>
        <v>판타지 웹소설 &gt; 퓨전 판타지</v>
      </c>
    </row>
    <row r="605" spans="1:48" x14ac:dyDescent="0.4">
      <c r="A605">
        <v>2313007845</v>
      </c>
      <c r="B605">
        <v>2313007937</v>
      </c>
      <c r="C605" t="str">
        <f>T("간신이 나라를 살림 93화")</f>
        <v>간신이 나라를 살림 93화</v>
      </c>
      <c r="D605" t="str">
        <f>T("93")</f>
        <v>93</v>
      </c>
      <c r="E605" t="str">
        <f t="shared" si="131"/>
        <v>루이세</v>
      </c>
      <c r="H605" t="str">
        <f t="shared" si="129"/>
        <v>스토리위즈</v>
      </c>
      <c r="I605" t="str">
        <f t="shared" si="132"/>
        <v>간신이 나라를 살림</v>
      </c>
      <c r="J605">
        <v>100</v>
      </c>
      <c r="K605">
        <v>1700</v>
      </c>
      <c r="L605">
        <v>17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1700</v>
      </c>
      <c r="AH605">
        <v>17</v>
      </c>
      <c r="AI605">
        <v>0</v>
      </c>
      <c r="AJ605">
        <v>0</v>
      </c>
      <c r="AK605">
        <v>1700</v>
      </c>
      <c r="AL605">
        <v>0</v>
      </c>
      <c r="AM605">
        <v>0</v>
      </c>
      <c r="AN605">
        <v>0</v>
      </c>
      <c r="AO605">
        <v>0</v>
      </c>
      <c r="AP605">
        <v>1190</v>
      </c>
      <c r="AT605" t="str">
        <f t="shared" si="133"/>
        <v>9791159284663</v>
      </c>
      <c r="AV605" t="str">
        <f t="shared" si="130"/>
        <v>판타지 웹소설 &gt; 퓨전 판타지</v>
      </c>
    </row>
    <row r="606" spans="1:48" x14ac:dyDescent="0.4">
      <c r="A606">
        <v>2313007845</v>
      </c>
      <c r="B606">
        <v>2313007938</v>
      </c>
      <c r="C606" t="str">
        <f>T("간신이 나라를 살림 94화")</f>
        <v>간신이 나라를 살림 94화</v>
      </c>
      <c r="D606" t="str">
        <f>T("94")</f>
        <v>94</v>
      </c>
      <c r="E606" t="str">
        <f t="shared" si="131"/>
        <v>루이세</v>
      </c>
      <c r="H606" t="str">
        <f t="shared" si="129"/>
        <v>스토리위즈</v>
      </c>
      <c r="I606" t="str">
        <f t="shared" si="132"/>
        <v>간신이 나라를 살림</v>
      </c>
      <c r="J606">
        <v>100</v>
      </c>
      <c r="K606">
        <v>1700</v>
      </c>
      <c r="L606">
        <v>17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1700</v>
      </c>
      <c r="AH606">
        <v>17</v>
      </c>
      <c r="AI606">
        <v>0</v>
      </c>
      <c r="AJ606">
        <v>0</v>
      </c>
      <c r="AK606">
        <v>1700</v>
      </c>
      <c r="AL606">
        <v>0</v>
      </c>
      <c r="AM606">
        <v>0</v>
      </c>
      <c r="AN606">
        <v>0</v>
      </c>
      <c r="AO606">
        <v>0</v>
      </c>
      <c r="AP606">
        <v>1190</v>
      </c>
      <c r="AT606" t="str">
        <f t="shared" si="133"/>
        <v>9791159284663</v>
      </c>
      <c r="AV606" t="str">
        <f t="shared" si="130"/>
        <v>판타지 웹소설 &gt; 퓨전 판타지</v>
      </c>
    </row>
    <row r="607" spans="1:48" x14ac:dyDescent="0.4">
      <c r="A607">
        <v>2313007845</v>
      </c>
      <c r="B607">
        <v>2313007939</v>
      </c>
      <c r="C607" t="str">
        <f>T("간신이 나라를 살림 95화")</f>
        <v>간신이 나라를 살림 95화</v>
      </c>
      <c r="D607" t="str">
        <f>T("95")</f>
        <v>95</v>
      </c>
      <c r="E607" t="str">
        <f t="shared" si="131"/>
        <v>루이세</v>
      </c>
      <c r="H607" t="str">
        <f t="shared" si="129"/>
        <v>스토리위즈</v>
      </c>
      <c r="I607" t="str">
        <f t="shared" si="132"/>
        <v>간신이 나라를 살림</v>
      </c>
      <c r="J607">
        <v>100</v>
      </c>
      <c r="K607">
        <v>1700</v>
      </c>
      <c r="L607">
        <v>17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1700</v>
      </c>
      <c r="AH607">
        <v>17</v>
      </c>
      <c r="AI607">
        <v>0</v>
      </c>
      <c r="AJ607">
        <v>0</v>
      </c>
      <c r="AK607">
        <v>1700</v>
      </c>
      <c r="AL607">
        <v>0</v>
      </c>
      <c r="AM607">
        <v>0</v>
      </c>
      <c r="AN607">
        <v>0</v>
      </c>
      <c r="AO607">
        <v>0</v>
      </c>
      <c r="AP607">
        <v>1190</v>
      </c>
      <c r="AT607" t="str">
        <f t="shared" si="133"/>
        <v>9791159284663</v>
      </c>
      <c r="AV607" t="str">
        <f t="shared" si="130"/>
        <v>판타지 웹소설 &gt; 퓨전 판타지</v>
      </c>
    </row>
    <row r="608" spans="1:48" x14ac:dyDescent="0.4">
      <c r="A608">
        <v>2313007845</v>
      </c>
      <c r="B608">
        <v>2313007940</v>
      </c>
      <c r="C608" t="str">
        <f>T("간신이 나라를 살림 96화")</f>
        <v>간신이 나라를 살림 96화</v>
      </c>
      <c r="D608" t="str">
        <f>T("96")</f>
        <v>96</v>
      </c>
      <c r="E608" t="str">
        <f t="shared" si="131"/>
        <v>루이세</v>
      </c>
      <c r="H608" t="str">
        <f t="shared" si="129"/>
        <v>스토리위즈</v>
      </c>
      <c r="I608" t="str">
        <f t="shared" si="132"/>
        <v>간신이 나라를 살림</v>
      </c>
      <c r="J608">
        <v>100</v>
      </c>
      <c r="K608">
        <v>1700</v>
      </c>
      <c r="L608">
        <v>17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1700</v>
      </c>
      <c r="AH608">
        <v>17</v>
      </c>
      <c r="AI608">
        <v>0</v>
      </c>
      <c r="AJ608">
        <v>0</v>
      </c>
      <c r="AK608">
        <v>1700</v>
      </c>
      <c r="AL608">
        <v>0</v>
      </c>
      <c r="AM608">
        <v>0</v>
      </c>
      <c r="AN608">
        <v>0</v>
      </c>
      <c r="AO608">
        <v>0</v>
      </c>
      <c r="AP608">
        <v>1190</v>
      </c>
      <c r="AT608" t="str">
        <f t="shared" si="133"/>
        <v>9791159284663</v>
      </c>
      <c r="AV608" t="str">
        <f t="shared" si="130"/>
        <v>판타지 웹소설 &gt; 퓨전 판타지</v>
      </c>
    </row>
    <row r="609" spans="1:48" x14ac:dyDescent="0.4">
      <c r="A609">
        <v>2313012849</v>
      </c>
      <c r="B609">
        <v>2313012900</v>
      </c>
      <c r="C609" t="str">
        <f>T("디버프 마스터 52화")</f>
        <v>디버프 마스터 52화</v>
      </c>
      <c r="D609" t="str">
        <f>T("52")</f>
        <v>52</v>
      </c>
      <c r="E609" t="str">
        <f t="shared" ref="E609:E618" si="134">T("담화공")</f>
        <v>담화공</v>
      </c>
      <c r="H609" t="str">
        <f t="shared" si="129"/>
        <v>스토리위즈</v>
      </c>
      <c r="I609" t="str">
        <f t="shared" ref="I609:I618" si="135">T("디버프 마스터")</f>
        <v>디버프 마스터</v>
      </c>
      <c r="J609">
        <v>100</v>
      </c>
      <c r="K609">
        <v>1700</v>
      </c>
      <c r="L609">
        <v>17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1700</v>
      </c>
      <c r="AH609">
        <v>17</v>
      </c>
      <c r="AI609">
        <v>0</v>
      </c>
      <c r="AJ609">
        <v>0</v>
      </c>
      <c r="AK609">
        <v>1600</v>
      </c>
      <c r="AL609">
        <v>0</v>
      </c>
      <c r="AM609">
        <v>119.05</v>
      </c>
      <c r="AN609">
        <v>-35.72</v>
      </c>
      <c r="AO609">
        <v>0</v>
      </c>
      <c r="AP609">
        <v>1178.33</v>
      </c>
      <c r="AT609" t="str">
        <f t="shared" ref="AT609:AT618" si="136">T("9791137602663")</f>
        <v>9791137602663</v>
      </c>
      <c r="AV609" t="str">
        <f t="shared" si="130"/>
        <v>판타지 웹소설 &gt; 퓨전 판타지</v>
      </c>
    </row>
    <row r="610" spans="1:48" x14ac:dyDescent="0.4">
      <c r="A610">
        <v>2313012849</v>
      </c>
      <c r="B610">
        <v>2313012907</v>
      </c>
      <c r="C610" t="str">
        <f>T("디버프 마스터 59화")</f>
        <v>디버프 마스터 59화</v>
      </c>
      <c r="D610" t="str">
        <f>T("59")</f>
        <v>59</v>
      </c>
      <c r="E610" t="str">
        <f t="shared" si="134"/>
        <v>담화공</v>
      </c>
      <c r="H610" t="str">
        <f t="shared" si="129"/>
        <v>스토리위즈</v>
      </c>
      <c r="I610" t="str">
        <f t="shared" si="135"/>
        <v>디버프 마스터</v>
      </c>
      <c r="J610">
        <v>100</v>
      </c>
      <c r="K610">
        <v>1700</v>
      </c>
      <c r="L610">
        <v>17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1700</v>
      </c>
      <c r="AH610">
        <v>17</v>
      </c>
      <c r="AI610">
        <v>0</v>
      </c>
      <c r="AJ610">
        <v>0</v>
      </c>
      <c r="AK610">
        <v>1600</v>
      </c>
      <c r="AL610">
        <v>0</v>
      </c>
      <c r="AM610">
        <v>119.05</v>
      </c>
      <c r="AN610">
        <v>-35.72</v>
      </c>
      <c r="AO610">
        <v>0</v>
      </c>
      <c r="AP610">
        <v>1178.33</v>
      </c>
      <c r="AT610" t="str">
        <f t="shared" si="136"/>
        <v>9791137602663</v>
      </c>
      <c r="AV610" t="str">
        <f t="shared" si="130"/>
        <v>판타지 웹소설 &gt; 퓨전 판타지</v>
      </c>
    </row>
    <row r="611" spans="1:48" x14ac:dyDescent="0.4">
      <c r="A611">
        <v>2313012849</v>
      </c>
      <c r="B611">
        <v>2313012908</v>
      </c>
      <c r="C611" t="str">
        <f>T("디버프 마스터 60화")</f>
        <v>디버프 마스터 60화</v>
      </c>
      <c r="D611" t="str">
        <f>T("60")</f>
        <v>60</v>
      </c>
      <c r="E611" t="str">
        <f t="shared" si="134"/>
        <v>담화공</v>
      </c>
      <c r="H611" t="str">
        <f t="shared" si="129"/>
        <v>스토리위즈</v>
      </c>
      <c r="I611" t="str">
        <f t="shared" si="135"/>
        <v>디버프 마스터</v>
      </c>
      <c r="J611">
        <v>100</v>
      </c>
      <c r="K611">
        <v>1700</v>
      </c>
      <c r="L611">
        <v>17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1700</v>
      </c>
      <c r="AH611">
        <v>17</v>
      </c>
      <c r="AI611">
        <v>0</v>
      </c>
      <c r="AJ611">
        <v>0</v>
      </c>
      <c r="AK611">
        <v>1600</v>
      </c>
      <c r="AL611">
        <v>0</v>
      </c>
      <c r="AM611">
        <v>119.05</v>
      </c>
      <c r="AN611">
        <v>-35.72</v>
      </c>
      <c r="AO611">
        <v>0</v>
      </c>
      <c r="AP611">
        <v>1178.33</v>
      </c>
      <c r="AT611" t="str">
        <f t="shared" si="136"/>
        <v>9791137602663</v>
      </c>
      <c r="AV611" t="str">
        <f t="shared" si="130"/>
        <v>판타지 웹소설 &gt; 퓨전 판타지</v>
      </c>
    </row>
    <row r="612" spans="1:48" x14ac:dyDescent="0.4">
      <c r="A612">
        <v>2313012849</v>
      </c>
      <c r="B612">
        <v>2313012909</v>
      </c>
      <c r="C612" t="str">
        <f>T("디버프 마스터 61화")</f>
        <v>디버프 마스터 61화</v>
      </c>
      <c r="D612" t="str">
        <f>T("61")</f>
        <v>61</v>
      </c>
      <c r="E612" t="str">
        <f t="shared" si="134"/>
        <v>담화공</v>
      </c>
      <c r="H612" t="str">
        <f t="shared" si="129"/>
        <v>스토리위즈</v>
      </c>
      <c r="I612" t="str">
        <f t="shared" si="135"/>
        <v>디버프 마스터</v>
      </c>
      <c r="J612">
        <v>100</v>
      </c>
      <c r="K612">
        <v>1700</v>
      </c>
      <c r="L612">
        <v>17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1700</v>
      </c>
      <c r="AH612">
        <v>17</v>
      </c>
      <c r="AI612">
        <v>0</v>
      </c>
      <c r="AJ612">
        <v>0</v>
      </c>
      <c r="AK612">
        <v>1600</v>
      </c>
      <c r="AL612">
        <v>0</v>
      </c>
      <c r="AM612">
        <v>119.05</v>
      </c>
      <c r="AN612">
        <v>-35.72</v>
      </c>
      <c r="AO612">
        <v>0</v>
      </c>
      <c r="AP612">
        <v>1178.33</v>
      </c>
      <c r="AT612" t="str">
        <f t="shared" si="136"/>
        <v>9791137602663</v>
      </c>
      <c r="AV612" t="str">
        <f t="shared" si="130"/>
        <v>판타지 웹소설 &gt; 퓨전 판타지</v>
      </c>
    </row>
    <row r="613" spans="1:48" x14ac:dyDescent="0.4">
      <c r="A613">
        <v>2313012849</v>
      </c>
      <c r="B613">
        <v>2313012910</v>
      </c>
      <c r="C613" t="str">
        <f>T("디버프 마스터 62화")</f>
        <v>디버프 마스터 62화</v>
      </c>
      <c r="D613" t="str">
        <f>T("62")</f>
        <v>62</v>
      </c>
      <c r="E613" t="str">
        <f t="shared" si="134"/>
        <v>담화공</v>
      </c>
      <c r="H613" t="str">
        <f t="shared" si="129"/>
        <v>스토리위즈</v>
      </c>
      <c r="I613" t="str">
        <f t="shared" si="135"/>
        <v>디버프 마스터</v>
      </c>
      <c r="J613">
        <v>100</v>
      </c>
      <c r="K613">
        <v>1700</v>
      </c>
      <c r="L613">
        <v>17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1700</v>
      </c>
      <c r="AH613">
        <v>17</v>
      </c>
      <c r="AI613">
        <v>0</v>
      </c>
      <c r="AJ613">
        <v>0</v>
      </c>
      <c r="AK613">
        <v>1600</v>
      </c>
      <c r="AL613">
        <v>0</v>
      </c>
      <c r="AM613">
        <v>119.05</v>
      </c>
      <c r="AN613">
        <v>-35.72</v>
      </c>
      <c r="AO613">
        <v>0</v>
      </c>
      <c r="AP613">
        <v>1178.33</v>
      </c>
      <c r="AT613" t="str">
        <f t="shared" si="136"/>
        <v>9791137602663</v>
      </c>
      <c r="AV613" t="str">
        <f t="shared" si="130"/>
        <v>판타지 웹소설 &gt; 퓨전 판타지</v>
      </c>
    </row>
    <row r="614" spans="1:48" x14ac:dyDescent="0.4">
      <c r="A614">
        <v>2313012849</v>
      </c>
      <c r="B614">
        <v>2313012911</v>
      </c>
      <c r="C614" t="str">
        <f>T("디버프 마스터 63화")</f>
        <v>디버프 마스터 63화</v>
      </c>
      <c r="D614" t="str">
        <f>T("63")</f>
        <v>63</v>
      </c>
      <c r="E614" t="str">
        <f t="shared" si="134"/>
        <v>담화공</v>
      </c>
      <c r="H614" t="str">
        <f t="shared" si="129"/>
        <v>스토리위즈</v>
      </c>
      <c r="I614" t="str">
        <f t="shared" si="135"/>
        <v>디버프 마스터</v>
      </c>
      <c r="J614">
        <v>100</v>
      </c>
      <c r="K614">
        <v>1700</v>
      </c>
      <c r="L614">
        <v>17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1700</v>
      </c>
      <c r="AH614">
        <v>17</v>
      </c>
      <c r="AI614">
        <v>0</v>
      </c>
      <c r="AJ614">
        <v>0</v>
      </c>
      <c r="AK614">
        <v>1600</v>
      </c>
      <c r="AL614">
        <v>0</v>
      </c>
      <c r="AM614">
        <v>119.05</v>
      </c>
      <c r="AN614">
        <v>-35.72</v>
      </c>
      <c r="AO614">
        <v>0</v>
      </c>
      <c r="AP614">
        <v>1178.33</v>
      </c>
      <c r="AT614" t="str">
        <f t="shared" si="136"/>
        <v>9791137602663</v>
      </c>
      <c r="AV614" t="str">
        <f t="shared" si="130"/>
        <v>판타지 웹소설 &gt; 퓨전 판타지</v>
      </c>
    </row>
    <row r="615" spans="1:48" x14ac:dyDescent="0.4">
      <c r="A615">
        <v>2313012849</v>
      </c>
      <c r="B615">
        <v>2313012912</v>
      </c>
      <c r="C615" t="str">
        <f>T("디버프 마스터 64화")</f>
        <v>디버프 마스터 64화</v>
      </c>
      <c r="D615" t="str">
        <f>T("64")</f>
        <v>64</v>
      </c>
      <c r="E615" t="str">
        <f t="shared" si="134"/>
        <v>담화공</v>
      </c>
      <c r="H615" t="str">
        <f t="shared" si="129"/>
        <v>스토리위즈</v>
      </c>
      <c r="I615" t="str">
        <f t="shared" si="135"/>
        <v>디버프 마스터</v>
      </c>
      <c r="J615">
        <v>100</v>
      </c>
      <c r="K615">
        <v>1700</v>
      </c>
      <c r="L615">
        <v>17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1700</v>
      </c>
      <c r="AH615">
        <v>17</v>
      </c>
      <c r="AI615">
        <v>0</v>
      </c>
      <c r="AJ615">
        <v>0</v>
      </c>
      <c r="AK615">
        <v>1600</v>
      </c>
      <c r="AL615">
        <v>0</v>
      </c>
      <c r="AM615">
        <v>119.05</v>
      </c>
      <c r="AN615">
        <v>-35.72</v>
      </c>
      <c r="AO615">
        <v>0</v>
      </c>
      <c r="AP615">
        <v>1178.33</v>
      </c>
      <c r="AT615" t="str">
        <f t="shared" si="136"/>
        <v>9791137602663</v>
      </c>
      <c r="AV615" t="str">
        <f t="shared" si="130"/>
        <v>판타지 웹소설 &gt; 퓨전 판타지</v>
      </c>
    </row>
    <row r="616" spans="1:48" x14ac:dyDescent="0.4">
      <c r="A616">
        <v>2313012849</v>
      </c>
      <c r="B616">
        <v>2313012913</v>
      </c>
      <c r="C616" t="str">
        <f>T("디버프 마스터 65화")</f>
        <v>디버프 마스터 65화</v>
      </c>
      <c r="D616" t="str">
        <f>T("65")</f>
        <v>65</v>
      </c>
      <c r="E616" t="str">
        <f t="shared" si="134"/>
        <v>담화공</v>
      </c>
      <c r="H616" t="str">
        <f t="shared" si="129"/>
        <v>스토리위즈</v>
      </c>
      <c r="I616" t="str">
        <f t="shared" si="135"/>
        <v>디버프 마스터</v>
      </c>
      <c r="J616">
        <v>100</v>
      </c>
      <c r="K616">
        <v>1700</v>
      </c>
      <c r="L616">
        <v>17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1700</v>
      </c>
      <c r="AH616">
        <v>17</v>
      </c>
      <c r="AI616">
        <v>0</v>
      </c>
      <c r="AJ616">
        <v>0</v>
      </c>
      <c r="AK616">
        <v>1600</v>
      </c>
      <c r="AL616">
        <v>0</v>
      </c>
      <c r="AM616">
        <v>119.05</v>
      </c>
      <c r="AN616">
        <v>-35.72</v>
      </c>
      <c r="AO616">
        <v>0</v>
      </c>
      <c r="AP616">
        <v>1178.33</v>
      </c>
      <c r="AT616" t="str">
        <f t="shared" si="136"/>
        <v>9791137602663</v>
      </c>
      <c r="AV616" t="str">
        <f t="shared" si="130"/>
        <v>판타지 웹소설 &gt; 퓨전 판타지</v>
      </c>
    </row>
    <row r="617" spans="1:48" x14ac:dyDescent="0.4">
      <c r="A617">
        <v>2313012849</v>
      </c>
      <c r="B617">
        <v>2313012914</v>
      </c>
      <c r="C617" t="str">
        <f>T("디버프 마스터 66화")</f>
        <v>디버프 마스터 66화</v>
      </c>
      <c r="D617" t="str">
        <f>T("66")</f>
        <v>66</v>
      </c>
      <c r="E617" t="str">
        <f t="shared" si="134"/>
        <v>담화공</v>
      </c>
      <c r="H617" t="str">
        <f t="shared" si="129"/>
        <v>스토리위즈</v>
      </c>
      <c r="I617" t="str">
        <f t="shared" si="135"/>
        <v>디버프 마스터</v>
      </c>
      <c r="J617">
        <v>100</v>
      </c>
      <c r="K617">
        <v>1700</v>
      </c>
      <c r="L617">
        <v>17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1700</v>
      </c>
      <c r="AH617">
        <v>17</v>
      </c>
      <c r="AI617">
        <v>0</v>
      </c>
      <c r="AJ617">
        <v>0</v>
      </c>
      <c r="AK617">
        <v>1600</v>
      </c>
      <c r="AL617">
        <v>0</v>
      </c>
      <c r="AM617">
        <v>119.05</v>
      </c>
      <c r="AN617">
        <v>-35.72</v>
      </c>
      <c r="AO617">
        <v>0</v>
      </c>
      <c r="AP617">
        <v>1178.33</v>
      </c>
      <c r="AT617" t="str">
        <f t="shared" si="136"/>
        <v>9791137602663</v>
      </c>
      <c r="AV617" t="str">
        <f t="shared" si="130"/>
        <v>판타지 웹소설 &gt; 퓨전 판타지</v>
      </c>
    </row>
    <row r="618" spans="1:48" x14ac:dyDescent="0.4">
      <c r="A618">
        <v>2313012849</v>
      </c>
      <c r="B618">
        <v>2313012916</v>
      </c>
      <c r="C618" t="str">
        <f>T("디버프 마스터 68화")</f>
        <v>디버프 마스터 68화</v>
      </c>
      <c r="D618" t="str">
        <f>T("68")</f>
        <v>68</v>
      </c>
      <c r="E618" t="str">
        <f t="shared" si="134"/>
        <v>담화공</v>
      </c>
      <c r="H618" t="str">
        <f t="shared" si="129"/>
        <v>스토리위즈</v>
      </c>
      <c r="I618" t="str">
        <f t="shared" si="135"/>
        <v>디버프 마스터</v>
      </c>
      <c r="J618">
        <v>100</v>
      </c>
      <c r="K618">
        <v>1700</v>
      </c>
      <c r="L618">
        <v>17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1700</v>
      </c>
      <c r="AH618">
        <v>17</v>
      </c>
      <c r="AI618">
        <v>0</v>
      </c>
      <c r="AJ618">
        <v>0</v>
      </c>
      <c r="AK618">
        <v>1600</v>
      </c>
      <c r="AL618">
        <v>0</v>
      </c>
      <c r="AM618">
        <v>119.05</v>
      </c>
      <c r="AN618">
        <v>-35.72</v>
      </c>
      <c r="AO618">
        <v>0</v>
      </c>
      <c r="AP618">
        <v>1178.33</v>
      </c>
      <c r="AT618" t="str">
        <f t="shared" si="136"/>
        <v>9791137602663</v>
      </c>
      <c r="AV618" t="str">
        <f t="shared" si="130"/>
        <v>판타지 웹소설 &gt; 퓨전 판타지</v>
      </c>
    </row>
    <row r="619" spans="1:48" x14ac:dyDescent="0.4">
      <c r="A619">
        <v>2313017657</v>
      </c>
      <c r="B619">
        <v>2313017757</v>
      </c>
      <c r="C619" t="str">
        <f>T("회귀자의 슬기로운 복수생활 101화")</f>
        <v>회귀자의 슬기로운 복수생활 101화</v>
      </c>
      <c r="D619" t="str">
        <f>T("101")</f>
        <v>101</v>
      </c>
      <c r="E619" t="str">
        <f t="shared" ref="E619:E627" si="137">T("구공")</f>
        <v>구공</v>
      </c>
      <c r="H619" t="str">
        <f t="shared" si="129"/>
        <v>스토리위즈</v>
      </c>
      <c r="I619" t="str">
        <f t="shared" ref="I619:I627" si="138">T("회귀자의 슬기로운 복수생활")</f>
        <v>회귀자의 슬기로운 복수생활</v>
      </c>
      <c r="J619">
        <v>100</v>
      </c>
      <c r="K619">
        <v>1700</v>
      </c>
      <c r="L619">
        <v>17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1700</v>
      </c>
      <c r="AH619">
        <v>17</v>
      </c>
      <c r="AI619">
        <v>0</v>
      </c>
      <c r="AJ619">
        <v>0</v>
      </c>
      <c r="AK619">
        <v>1700</v>
      </c>
      <c r="AL619">
        <v>0</v>
      </c>
      <c r="AM619">
        <v>0</v>
      </c>
      <c r="AN619">
        <v>0</v>
      </c>
      <c r="AO619">
        <v>0</v>
      </c>
      <c r="AP619">
        <v>1190</v>
      </c>
      <c r="AT619" t="str">
        <f t="shared" ref="AT619:AT627" si="139">T("9791137601710")</f>
        <v>9791137601710</v>
      </c>
      <c r="AV619" t="str">
        <f t="shared" si="130"/>
        <v>판타지 웹소설 &gt; 퓨전 판타지</v>
      </c>
    </row>
    <row r="620" spans="1:48" x14ac:dyDescent="0.4">
      <c r="A620">
        <v>2313017657</v>
      </c>
      <c r="B620">
        <v>2313017759</v>
      </c>
      <c r="C620" t="str">
        <f>T("회귀자의 슬기로운 복수생활 103화")</f>
        <v>회귀자의 슬기로운 복수생활 103화</v>
      </c>
      <c r="D620" t="str">
        <f>T("103")</f>
        <v>103</v>
      </c>
      <c r="E620" t="str">
        <f t="shared" si="137"/>
        <v>구공</v>
      </c>
      <c r="H620" t="str">
        <f t="shared" si="129"/>
        <v>스토리위즈</v>
      </c>
      <c r="I620" t="str">
        <f t="shared" si="138"/>
        <v>회귀자의 슬기로운 복수생활</v>
      </c>
      <c r="J620">
        <v>100</v>
      </c>
      <c r="K620">
        <v>1700</v>
      </c>
      <c r="L620">
        <v>17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1700</v>
      </c>
      <c r="AH620">
        <v>17</v>
      </c>
      <c r="AI620">
        <v>0</v>
      </c>
      <c r="AJ620">
        <v>0</v>
      </c>
      <c r="AK620">
        <v>1700</v>
      </c>
      <c r="AL620">
        <v>0</v>
      </c>
      <c r="AM620">
        <v>0</v>
      </c>
      <c r="AN620">
        <v>0</v>
      </c>
      <c r="AO620">
        <v>0</v>
      </c>
      <c r="AP620">
        <v>1190</v>
      </c>
      <c r="AT620" t="str">
        <f t="shared" si="139"/>
        <v>9791137601710</v>
      </c>
      <c r="AV620" t="str">
        <f t="shared" si="130"/>
        <v>판타지 웹소설 &gt; 퓨전 판타지</v>
      </c>
    </row>
    <row r="621" spans="1:48" x14ac:dyDescent="0.4">
      <c r="A621">
        <v>2313017657</v>
      </c>
      <c r="B621">
        <v>2313017760</v>
      </c>
      <c r="C621" t="str">
        <f>T("회귀자의 슬기로운 복수생활 104화")</f>
        <v>회귀자의 슬기로운 복수생활 104화</v>
      </c>
      <c r="D621" t="str">
        <f>T("104")</f>
        <v>104</v>
      </c>
      <c r="E621" t="str">
        <f t="shared" si="137"/>
        <v>구공</v>
      </c>
      <c r="H621" t="str">
        <f t="shared" si="129"/>
        <v>스토리위즈</v>
      </c>
      <c r="I621" t="str">
        <f t="shared" si="138"/>
        <v>회귀자의 슬기로운 복수생활</v>
      </c>
      <c r="J621">
        <v>100</v>
      </c>
      <c r="K621">
        <v>1700</v>
      </c>
      <c r="L621">
        <v>17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1700</v>
      </c>
      <c r="AH621">
        <v>17</v>
      </c>
      <c r="AI621">
        <v>0</v>
      </c>
      <c r="AJ621">
        <v>0</v>
      </c>
      <c r="AK621">
        <v>1700</v>
      </c>
      <c r="AL621">
        <v>0</v>
      </c>
      <c r="AM621">
        <v>0</v>
      </c>
      <c r="AN621">
        <v>0</v>
      </c>
      <c r="AO621">
        <v>0</v>
      </c>
      <c r="AP621">
        <v>1190</v>
      </c>
      <c r="AT621" t="str">
        <f t="shared" si="139"/>
        <v>9791137601710</v>
      </c>
      <c r="AV621" t="str">
        <f t="shared" si="130"/>
        <v>판타지 웹소설 &gt; 퓨전 판타지</v>
      </c>
    </row>
    <row r="622" spans="1:48" x14ac:dyDescent="0.4">
      <c r="A622">
        <v>2313017657</v>
      </c>
      <c r="B622">
        <v>2313017762</v>
      </c>
      <c r="C622" t="str">
        <f>T("회귀자의 슬기로운 복수생활 106화")</f>
        <v>회귀자의 슬기로운 복수생활 106화</v>
      </c>
      <c r="D622" t="str">
        <f>T("106")</f>
        <v>106</v>
      </c>
      <c r="E622" t="str">
        <f t="shared" si="137"/>
        <v>구공</v>
      </c>
      <c r="H622" t="str">
        <f t="shared" si="129"/>
        <v>스토리위즈</v>
      </c>
      <c r="I622" t="str">
        <f t="shared" si="138"/>
        <v>회귀자의 슬기로운 복수생활</v>
      </c>
      <c r="J622">
        <v>100</v>
      </c>
      <c r="K622">
        <v>1700</v>
      </c>
      <c r="L622">
        <v>17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1700</v>
      </c>
      <c r="AH622">
        <v>17</v>
      </c>
      <c r="AI622">
        <v>0</v>
      </c>
      <c r="AJ622">
        <v>0</v>
      </c>
      <c r="AK622">
        <v>1700</v>
      </c>
      <c r="AL622">
        <v>0</v>
      </c>
      <c r="AM622">
        <v>0</v>
      </c>
      <c r="AN622">
        <v>0</v>
      </c>
      <c r="AO622">
        <v>0</v>
      </c>
      <c r="AP622">
        <v>1190</v>
      </c>
      <c r="AT622" t="str">
        <f t="shared" si="139"/>
        <v>9791137601710</v>
      </c>
      <c r="AV622" t="str">
        <f t="shared" si="130"/>
        <v>판타지 웹소설 &gt; 퓨전 판타지</v>
      </c>
    </row>
    <row r="623" spans="1:48" x14ac:dyDescent="0.4">
      <c r="A623">
        <v>2313017657</v>
      </c>
      <c r="B623">
        <v>2313017763</v>
      </c>
      <c r="C623" t="str">
        <f>T("회귀자의 슬기로운 복수생활 107화")</f>
        <v>회귀자의 슬기로운 복수생활 107화</v>
      </c>
      <c r="D623" t="str">
        <f>T("107")</f>
        <v>107</v>
      </c>
      <c r="E623" t="str">
        <f t="shared" si="137"/>
        <v>구공</v>
      </c>
      <c r="H623" t="str">
        <f t="shared" si="129"/>
        <v>스토리위즈</v>
      </c>
      <c r="I623" t="str">
        <f t="shared" si="138"/>
        <v>회귀자의 슬기로운 복수생활</v>
      </c>
      <c r="J623">
        <v>100</v>
      </c>
      <c r="K623">
        <v>1700</v>
      </c>
      <c r="L623">
        <v>17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1700</v>
      </c>
      <c r="AH623">
        <v>17</v>
      </c>
      <c r="AI623">
        <v>0</v>
      </c>
      <c r="AJ623">
        <v>0</v>
      </c>
      <c r="AK623">
        <v>1700</v>
      </c>
      <c r="AL623">
        <v>0</v>
      </c>
      <c r="AM623">
        <v>0</v>
      </c>
      <c r="AN623">
        <v>0</v>
      </c>
      <c r="AO623">
        <v>0</v>
      </c>
      <c r="AP623">
        <v>1190</v>
      </c>
      <c r="AT623" t="str">
        <f t="shared" si="139"/>
        <v>9791137601710</v>
      </c>
      <c r="AV623" t="str">
        <f t="shared" si="130"/>
        <v>판타지 웹소설 &gt; 퓨전 판타지</v>
      </c>
    </row>
    <row r="624" spans="1:48" x14ac:dyDescent="0.4">
      <c r="A624">
        <v>2313017657</v>
      </c>
      <c r="B624">
        <v>2313017764</v>
      </c>
      <c r="C624" t="str">
        <f>T("회귀자의 슬기로운 복수생활 108화")</f>
        <v>회귀자의 슬기로운 복수생활 108화</v>
      </c>
      <c r="D624" t="str">
        <f>T("108")</f>
        <v>108</v>
      </c>
      <c r="E624" t="str">
        <f t="shared" si="137"/>
        <v>구공</v>
      </c>
      <c r="H624" t="str">
        <f t="shared" si="129"/>
        <v>스토리위즈</v>
      </c>
      <c r="I624" t="str">
        <f t="shared" si="138"/>
        <v>회귀자의 슬기로운 복수생활</v>
      </c>
      <c r="J624">
        <v>100</v>
      </c>
      <c r="K624">
        <v>1700</v>
      </c>
      <c r="L624">
        <v>17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1700</v>
      </c>
      <c r="AH624">
        <v>17</v>
      </c>
      <c r="AI624">
        <v>0</v>
      </c>
      <c r="AJ624">
        <v>0</v>
      </c>
      <c r="AK624">
        <v>1700</v>
      </c>
      <c r="AL624">
        <v>0</v>
      </c>
      <c r="AM624">
        <v>0</v>
      </c>
      <c r="AN624">
        <v>0</v>
      </c>
      <c r="AO624">
        <v>0</v>
      </c>
      <c r="AP624">
        <v>1190</v>
      </c>
      <c r="AT624" t="str">
        <f t="shared" si="139"/>
        <v>9791137601710</v>
      </c>
      <c r="AV624" t="str">
        <f t="shared" si="130"/>
        <v>판타지 웹소설 &gt; 퓨전 판타지</v>
      </c>
    </row>
    <row r="625" spans="1:49" x14ac:dyDescent="0.4">
      <c r="A625">
        <v>2313017657</v>
      </c>
      <c r="B625">
        <v>2313017766</v>
      </c>
      <c r="C625" t="str">
        <f>T("회귀자의 슬기로운 복수생활 110화")</f>
        <v>회귀자의 슬기로운 복수생활 110화</v>
      </c>
      <c r="D625" t="str">
        <f>T("110")</f>
        <v>110</v>
      </c>
      <c r="E625" t="str">
        <f t="shared" si="137"/>
        <v>구공</v>
      </c>
      <c r="H625" t="str">
        <f t="shared" si="129"/>
        <v>스토리위즈</v>
      </c>
      <c r="I625" t="str">
        <f t="shared" si="138"/>
        <v>회귀자의 슬기로운 복수생활</v>
      </c>
      <c r="J625">
        <v>100</v>
      </c>
      <c r="K625">
        <v>1700</v>
      </c>
      <c r="L625">
        <v>17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1700</v>
      </c>
      <c r="AH625">
        <v>17</v>
      </c>
      <c r="AI625">
        <v>0</v>
      </c>
      <c r="AJ625">
        <v>0</v>
      </c>
      <c r="AK625">
        <v>1700</v>
      </c>
      <c r="AL625">
        <v>0</v>
      </c>
      <c r="AM625">
        <v>0</v>
      </c>
      <c r="AN625">
        <v>0</v>
      </c>
      <c r="AO625">
        <v>0</v>
      </c>
      <c r="AP625">
        <v>1190</v>
      </c>
      <c r="AT625" t="str">
        <f t="shared" si="139"/>
        <v>9791137601710</v>
      </c>
      <c r="AV625" t="str">
        <f t="shared" si="130"/>
        <v>판타지 웹소설 &gt; 퓨전 판타지</v>
      </c>
    </row>
    <row r="626" spans="1:49" x14ac:dyDescent="0.4">
      <c r="A626">
        <v>2313017657</v>
      </c>
      <c r="B626">
        <v>2313017768</v>
      </c>
      <c r="C626" t="str">
        <f>T("회귀자의 슬기로운 복수생활 112화")</f>
        <v>회귀자의 슬기로운 복수생활 112화</v>
      </c>
      <c r="D626" t="str">
        <f>T("112")</f>
        <v>112</v>
      </c>
      <c r="E626" t="str">
        <f t="shared" si="137"/>
        <v>구공</v>
      </c>
      <c r="H626" t="str">
        <f t="shared" si="129"/>
        <v>스토리위즈</v>
      </c>
      <c r="I626" t="str">
        <f t="shared" si="138"/>
        <v>회귀자의 슬기로운 복수생활</v>
      </c>
      <c r="J626">
        <v>100</v>
      </c>
      <c r="K626">
        <v>1700</v>
      </c>
      <c r="L626">
        <v>17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1700</v>
      </c>
      <c r="AH626">
        <v>17</v>
      </c>
      <c r="AI626">
        <v>0</v>
      </c>
      <c r="AJ626">
        <v>0</v>
      </c>
      <c r="AK626">
        <v>1700</v>
      </c>
      <c r="AL626">
        <v>0</v>
      </c>
      <c r="AM626">
        <v>0</v>
      </c>
      <c r="AN626">
        <v>0</v>
      </c>
      <c r="AO626">
        <v>0</v>
      </c>
      <c r="AP626">
        <v>1190</v>
      </c>
      <c r="AT626" t="str">
        <f t="shared" si="139"/>
        <v>9791137601710</v>
      </c>
      <c r="AV626" t="str">
        <f t="shared" si="130"/>
        <v>판타지 웹소설 &gt; 퓨전 판타지</v>
      </c>
    </row>
    <row r="627" spans="1:49" x14ac:dyDescent="0.4">
      <c r="A627">
        <v>2313017657</v>
      </c>
      <c r="B627">
        <v>2313017769</v>
      </c>
      <c r="C627" t="str">
        <f>T("회귀자의 슬기로운 복수생활 113화")</f>
        <v>회귀자의 슬기로운 복수생활 113화</v>
      </c>
      <c r="D627" t="str">
        <f>T("113")</f>
        <v>113</v>
      </c>
      <c r="E627" t="str">
        <f t="shared" si="137"/>
        <v>구공</v>
      </c>
      <c r="H627" t="str">
        <f t="shared" si="129"/>
        <v>스토리위즈</v>
      </c>
      <c r="I627" t="str">
        <f t="shared" si="138"/>
        <v>회귀자의 슬기로운 복수생활</v>
      </c>
      <c r="J627">
        <v>100</v>
      </c>
      <c r="K627">
        <v>1700</v>
      </c>
      <c r="L627">
        <v>17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1700</v>
      </c>
      <c r="AH627">
        <v>17</v>
      </c>
      <c r="AI627">
        <v>0</v>
      </c>
      <c r="AJ627">
        <v>0</v>
      </c>
      <c r="AK627">
        <v>1700</v>
      </c>
      <c r="AL627">
        <v>0</v>
      </c>
      <c r="AM627">
        <v>0</v>
      </c>
      <c r="AN627">
        <v>0</v>
      </c>
      <c r="AO627">
        <v>0</v>
      </c>
      <c r="AP627">
        <v>1190</v>
      </c>
      <c r="AT627" t="str">
        <f t="shared" si="139"/>
        <v>9791137601710</v>
      </c>
      <c r="AV627" t="str">
        <f t="shared" si="130"/>
        <v>판타지 웹소설 &gt; 퓨전 판타지</v>
      </c>
    </row>
    <row r="628" spans="1:49" x14ac:dyDescent="0.4">
      <c r="A628">
        <v>2313016994</v>
      </c>
      <c r="B628">
        <v>2313016943</v>
      </c>
      <c r="C628" t="str">
        <f>T("[e북]숨결을 삼키다 (외전)")</f>
        <v>[e북]숨결을 삼키다 (외전)</v>
      </c>
      <c r="D628" t="str">
        <f>T("2")</f>
        <v>2</v>
      </c>
      <c r="E628" t="str">
        <f>T("문스톤")</f>
        <v>문스톤</v>
      </c>
      <c r="H628" t="str">
        <f>T("도서출판 태랑")</f>
        <v>도서출판 태랑</v>
      </c>
      <c r="I628" t="str">
        <f>T("[e북]숨결을 삼키다 (외전증보판)")</f>
        <v>[e북]숨결을 삼키다 (외전증보판)</v>
      </c>
      <c r="J628">
        <v>300</v>
      </c>
      <c r="K628">
        <v>1620</v>
      </c>
      <c r="L628">
        <v>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1620</v>
      </c>
      <c r="AH628">
        <v>6</v>
      </c>
      <c r="AI628">
        <v>0</v>
      </c>
      <c r="AJ628">
        <v>0</v>
      </c>
      <c r="AK628">
        <v>1620</v>
      </c>
      <c r="AL628">
        <v>0</v>
      </c>
      <c r="AM628">
        <v>0</v>
      </c>
      <c r="AN628">
        <v>0</v>
      </c>
      <c r="AO628">
        <v>0</v>
      </c>
      <c r="AP628">
        <v>1134</v>
      </c>
      <c r="AT628" t="str">
        <f>T("9791164372911")</f>
        <v>9791164372911</v>
      </c>
      <c r="AV628" t="str">
        <f>T("로맨스 e북 &gt; 현대물")</f>
        <v>로맨스 e북 &gt; 현대물</v>
      </c>
      <c r="AW628" t="str">
        <f>T("로맨스 e북 &gt; 19+")</f>
        <v>로맨스 e북 &gt; 19+</v>
      </c>
    </row>
    <row r="629" spans="1:49" x14ac:dyDescent="0.4">
      <c r="A629">
        <v>2313007845</v>
      </c>
      <c r="B629">
        <v>2313007912</v>
      </c>
      <c r="C629" t="str">
        <f>T("간신이 나라를 살림 68화")</f>
        <v>간신이 나라를 살림 68화</v>
      </c>
      <c r="D629" t="str">
        <f>T("68")</f>
        <v>68</v>
      </c>
      <c r="E629" t="str">
        <f t="shared" ref="E629:E640" si="140">T("루이세")</f>
        <v>루이세</v>
      </c>
      <c r="H629" t="str">
        <f t="shared" ref="H629:H661" si="141">T("스토리위즈")</f>
        <v>스토리위즈</v>
      </c>
      <c r="I629" t="str">
        <f t="shared" ref="I629:I640" si="142">T("간신이 나라를 살림")</f>
        <v>간신이 나라를 살림</v>
      </c>
      <c r="J629">
        <v>100</v>
      </c>
      <c r="K629">
        <v>1600</v>
      </c>
      <c r="L629">
        <v>16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1600</v>
      </c>
      <c r="AH629">
        <v>16</v>
      </c>
      <c r="AI629">
        <v>0</v>
      </c>
      <c r="AJ629">
        <v>0</v>
      </c>
      <c r="AK629">
        <v>1600</v>
      </c>
      <c r="AL629">
        <v>0</v>
      </c>
      <c r="AM629">
        <v>0</v>
      </c>
      <c r="AN629">
        <v>0</v>
      </c>
      <c r="AO629">
        <v>0</v>
      </c>
      <c r="AP629">
        <v>1120</v>
      </c>
      <c r="AT629" t="str">
        <f t="shared" ref="AT629:AT640" si="143">T("9791159284663")</f>
        <v>9791159284663</v>
      </c>
      <c r="AV629" t="str">
        <f t="shared" ref="AV629:AV661" si="144">T("판타지 웹소설 &gt; 퓨전 판타지")</f>
        <v>판타지 웹소설 &gt; 퓨전 판타지</v>
      </c>
    </row>
    <row r="630" spans="1:49" x14ac:dyDescent="0.4">
      <c r="A630">
        <v>2313007845</v>
      </c>
      <c r="B630">
        <v>2313007913</v>
      </c>
      <c r="C630" t="str">
        <f>T("간신이 나라를 살림 69화")</f>
        <v>간신이 나라를 살림 69화</v>
      </c>
      <c r="D630" t="str">
        <f>T("69")</f>
        <v>69</v>
      </c>
      <c r="E630" t="str">
        <f t="shared" si="140"/>
        <v>루이세</v>
      </c>
      <c r="H630" t="str">
        <f t="shared" si="141"/>
        <v>스토리위즈</v>
      </c>
      <c r="I630" t="str">
        <f t="shared" si="142"/>
        <v>간신이 나라를 살림</v>
      </c>
      <c r="J630">
        <v>100</v>
      </c>
      <c r="K630">
        <v>1600</v>
      </c>
      <c r="L630">
        <v>16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1600</v>
      </c>
      <c r="AH630">
        <v>16</v>
      </c>
      <c r="AI630">
        <v>0</v>
      </c>
      <c r="AJ630">
        <v>0</v>
      </c>
      <c r="AK630">
        <v>1600</v>
      </c>
      <c r="AL630">
        <v>0</v>
      </c>
      <c r="AM630">
        <v>0</v>
      </c>
      <c r="AN630">
        <v>0</v>
      </c>
      <c r="AO630">
        <v>0</v>
      </c>
      <c r="AP630">
        <v>1120</v>
      </c>
      <c r="AT630" t="str">
        <f t="shared" si="143"/>
        <v>9791159284663</v>
      </c>
      <c r="AV630" t="str">
        <f t="shared" si="144"/>
        <v>판타지 웹소설 &gt; 퓨전 판타지</v>
      </c>
    </row>
    <row r="631" spans="1:49" x14ac:dyDescent="0.4">
      <c r="A631">
        <v>2313007845</v>
      </c>
      <c r="B631">
        <v>2313007914</v>
      </c>
      <c r="C631" t="str">
        <f>T("간신이 나라를 살림 70화")</f>
        <v>간신이 나라를 살림 70화</v>
      </c>
      <c r="D631" t="str">
        <f>T("70")</f>
        <v>70</v>
      </c>
      <c r="E631" t="str">
        <f t="shared" si="140"/>
        <v>루이세</v>
      </c>
      <c r="H631" t="str">
        <f t="shared" si="141"/>
        <v>스토리위즈</v>
      </c>
      <c r="I631" t="str">
        <f t="shared" si="142"/>
        <v>간신이 나라를 살림</v>
      </c>
      <c r="J631">
        <v>100</v>
      </c>
      <c r="K631">
        <v>1600</v>
      </c>
      <c r="L631">
        <v>16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1600</v>
      </c>
      <c r="AH631">
        <v>16</v>
      </c>
      <c r="AI631">
        <v>0</v>
      </c>
      <c r="AJ631">
        <v>0</v>
      </c>
      <c r="AK631">
        <v>1600</v>
      </c>
      <c r="AL631">
        <v>0</v>
      </c>
      <c r="AM631">
        <v>0</v>
      </c>
      <c r="AN631">
        <v>0</v>
      </c>
      <c r="AO631">
        <v>0</v>
      </c>
      <c r="AP631">
        <v>1120</v>
      </c>
      <c r="AT631" t="str">
        <f t="shared" si="143"/>
        <v>9791159284663</v>
      </c>
      <c r="AV631" t="str">
        <f t="shared" si="144"/>
        <v>판타지 웹소설 &gt; 퓨전 판타지</v>
      </c>
    </row>
    <row r="632" spans="1:49" x14ac:dyDescent="0.4">
      <c r="A632">
        <v>2313007845</v>
      </c>
      <c r="B632">
        <v>2313007915</v>
      </c>
      <c r="C632" t="str">
        <f>T("간신이 나라를 살림 71화")</f>
        <v>간신이 나라를 살림 71화</v>
      </c>
      <c r="D632" t="str">
        <f>T("71")</f>
        <v>71</v>
      </c>
      <c r="E632" t="str">
        <f t="shared" si="140"/>
        <v>루이세</v>
      </c>
      <c r="H632" t="str">
        <f t="shared" si="141"/>
        <v>스토리위즈</v>
      </c>
      <c r="I632" t="str">
        <f t="shared" si="142"/>
        <v>간신이 나라를 살림</v>
      </c>
      <c r="J632">
        <v>100</v>
      </c>
      <c r="K632">
        <v>1600</v>
      </c>
      <c r="L632">
        <v>16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1600</v>
      </c>
      <c r="AH632">
        <v>16</v>
      </c>
      <c r="AI632">
        <v>0</v>
      </c>
      <c r="AJ632">
        <v>0</v>
      </c>
      <c r="AK632">
        <v>1600</v>
      </c>
      <c r="AL632">
        <v>0</v>
      </c>
      <c r="AM632">
        <v>0</v>
      </c>
      <c r="AN632">
        <v>0</v>
      </c>
      <c r="AO632">
        <v>0</v>
      </c>
      <c r="AP632">
        <v>1120</v>
      </c>
      <c r="AT632" t="str">
        <f t="shared" si="143"/>
        <v>9791159284663</v>
      </c>
      <c r="AV632" t="str">
        <f t="shared" si="144"/>
        <v>판타지 웹소설 &gt; 퓨전 판타지</v>
      </c>
    </row>
    <row r="633" spans="1:49" x14ac:dyDescent="0.4">
      <c r="A633">
        <v>2313007845</v>
      </c>
      <c r="B633">
        <v>2313007916</v>
      </c>
      <c r="C633" t="str">
        <f>T("간신이 나라를 살림 72화")</f>
        <v>간신이 나라를 살림 72화</v>
      </c>
      <c r="D633" t="str">
        <f>T("72")</f>
        <v>72</v>
      </c>
      <c r="E633" t="str">
        <f t="shared" si="140"/>
        <v>루이세</v>
      </c>
      <c r="H633" t="str">
        <f t="shared" si="141"/>
        <v>스토리위즈</v>
      </c>
      <c r="I633" t="str">
        <f t="shared" si="142"/>
        <v>간신이 나라를 살림</v>
      </c>
      <c r="J633">
        <v>100</v>
      </c>
      <c r="K633">
        <v>1600</v>
      </c>
      <c r="L633">
        <v>16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1600</v>
      </c>
      <c r="AH633">
        <v>16</v>
      </c>
      <c r="AI633">
        <v>0</v>
      </c>
      <c r="AJ633">
        <v>0</v>
      </c>
      <c r="AK633">
        <v>1600</v>
      </c>
      <c r="AL633">
        <v>0</v>
      </c>
      <c r="AM633">
        <v>0</v>
      </c>
      <c r="AN633">
        <v>0</v>
      </c>
      <c r="AO633">
        <v>0</v>
      </c>
      <c r="AP633">
        <v>1120</v>
      </c>
      <c r="AT633" t="str">
        <f t="shared" si="143"/>
        <v>9791159284663</v>
      </c>
      <c r="AV633" t="str">
        <f t="shared" si="144"/>
        <v>판타지 웹소설 &gt; 퓨전 판타지</v>
      </c>
    </row>
    <row r="634" spans="1:49" x14ac:dyDescent="0.4">
      <c r="A634">
        <v>2313007845</v>
      </c>
      <c r="B634">
        <v>2313007917</v>
      </c>
      <c r="C634" t="str">
        <f>T("간신이 나라를 살림 73화")</f>
        <v>간신이 나라를 살림 73화</v>
      </c>
      <c r="D634" t="str">
        <f>T("73")</f>
        <v>73</v>
      </c>
      <c r="E634" t="str">
        <f t="shared" si="140"/>
        <v>루이세</v>
      </c>
      <c r="H634" t="str">
        <f t="shared" si="141"/>
        <v>스토리위즈</v>
      </c>
      <c r="I634" t="str">
        <f t="shared" si="142"/>
        <v>간신이 나라를 살림</v>
      </c>
      <c r="J634">
        <v>100</v>
      </c>
      <c r="K634">
        <v>1600</v>
      </c>
      <c r="L634">
        <v>16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1600</v>
      </c>
      <c r="AH634">
        <v>16</v>
      </c>
      <c r="AI634">
        <v>0</v>
      </c>
      <c r="AJ634">
        <v>0</v>
      </c>
      <c r="AK634">
        <v>1600</v>
      </c>
      <c r="AL634">
        <v>0</v>
      </c>
      <c r="AM634">
        <v>0</v>
      </c>
      <c r="AN634">
        <v>0</v>
      </c>
      <c r="AO634">
        <v>0</v>
      </c>
      <c r="AP634">
        <v>1120</v>
      </c>
      <c r="AT634" t="str">
        <f t="shared" si="143"/>
        <v>9791159284663</v>
      </c>
      <c r="AV634" t="str">
        <f t="shared" si="144"/>
        <v>판타지 웹소설 &gt; 퓨전 판타지</v>
      </c>
    </row>
    <row r="635" spans="1:49" x14ac:dyDescent="0.4">
      <c r="A635">
        <v>2313007845</v>
      </c>
      <c r="B635">
        <v>2313007919</v>
      </c>
      <c r="C635" t="str">
        <f>T("간신이 나라를 살림 75화")</f>
        <v>간신이 나라를 살림 75화</v>
      </c>
      <c r="D635" t="str">
        <f>T("75")</f>
        <v>75</v>
      </c>
      <c r="E635" t="str">
        <f t="shared" si="140"/>
        <v>루이세</v>
      </c>
      <c r="H635" t="str">
        <f t="shared" si="141"/>
        <v>스토리위즈</v>
      </c>
      <c r="I635" t="str">
        <f t="shared" si="142"/>
        <v>간신이 나라를 살림</v>
      </c>
      <c r="J635">
        <v>100</v>
      </c>
      <c r="K635">
        <v>1600</v>
      </c>
      <c r="L635">
        <v>16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1600</v>
      </c>
      <c r="AH635">
        <v>16</v>
      </c>
      <c r="AI635">
        <v>0</v>
      </c>
      <c r="AJ635">
        <v>0</v>
      </c>
      <c r="AK635">
        <v>1600</v>
      </c>
      <c r="AL635">
        <v>0</v>
      </c>
      <c r="AM635">
        <v>0</v>
      </c>
      <c r="AN635">
        <v>0</v>
      </c>
      <c r="AO635">
        <v>0</v>
      </c>
      <c r="AP635">
        <v>1120</v>
      </c>
      <c r="AT635" t="str">
        <f t="shared" si="143"/>
        <v>9791159284663</v>
      </c>
      <c r="AV635" t="str">
        <f t="shared" si="144"/>
        <v>판타지 웹소설 &gt; 퓨전 판타지</v>
      </c>
    </row>
    <row r="636" spans="1:49" x14ac:dyDescent="0.4">
      <c r="A636">
        <v>2313007845</v>
      </c>
      <c r="B636">
        <v>2313007920</v>
      </c>
      <c r="C636" t="str">
        <f>T("간신이 나라를 살림 76화")</f>
        <v>간신이 나라를 살림 76화</v>
      </c>
      <c r="D636" t="str">
        <f>T("76")</f>
        <v>76</v>
      </c>
      <c r="E636" t="str">
        <f t="shared" si="140"/>
        <v>루이세</v>
      </c>
      <c r="H636" t="str">
        <f t="shared" si="141"/>
        <v>스토리위즈</v>
      </c>
      <c r="I636" t="str">
        <f t="shared" si="142"/>
        <v>간신이 나라를 살림</v>
      </c>
      <c r="J636">
        <v>100</v>
      </c>
      <c r="K636">
        <v>1600</v>
      </c>
      <c r="L636">
        <v>16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1600</v>
      </c>
      <c r="AH636">
        <v>16</v>
      </c>
      <c r="AI636">
        <v>0</v>
      </c>
      <c r="AJ636">
        <v>0</v>
      </c>
      <c r="AK636">
        <v>1600</v>
      </c>
      <c r="AL636">
        <v>0</v>
      </c>
      <c r="AM636">
        <v>0</v>
      </c>
      <c r="AN636">
        <v>0</v>
      </c>
      <c r="AO636">
        <v>0</v>
      </c>
      <c r="AP636">
        <v>1120</v>
      </c>
      <c r="AT636" t="str">
        <f t="shared" si="143"/>
        <v>9791159284663</v>
      </c>
      <c r="AV636" t="str">
        <f t="shared" si="144"/>
        <v>판타지 웹소설 &gt; 퓨전 판타지</v>
      </c>
    </row>
    <row r="637" spans="1:49" x14ac:dyDescent="0.4">
      <c r="A637">
        <v>2313007845</v>
      </c>
      <c r="B637">
        <v>2313007926</v>
      </c>
      <c r="C637" t="str">
        <f>T("간신이 나라를 살림 82화")</f>
        <v>간신이 나라를 살림 82화</v>
      </c>
      <c r="D637" t="str">
        <f>T("82")</f>
        <v>82</v>
      </c>
      <c r="E637" t="str">
        <f t="shared" si="140"/>
        <v>루이세</v>
      </c>
      <c r="H637" t="str">
        <f t="shared" si="141"/>
        <v>스토리위즈</v>
      </c>
      <c r="I637" t="str">
        <f t="shared" si="142"/>
        <v>간신이 나라를 살림</v>
      </c>
      <c r="J637">
        <v>100</v>
      </c>
      <c r="K637">
        <v>1600</v>
      </c>
      <c r="L637">
        <v>16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1600</v>
      </c>
      <c r="AH637">
        <v>16</v>
      </c>
      <c r="AI637">
        <v>0</v>
      </c>
      <c r="AJ637">
        <v>0</v>
      </c>
      <c r="AK637">
        <v>1600</v>
      </c>
      <c r="AL637">
        <v>0</v>
      </c>
      <c r="AM637">
        <v>0</v>
      </c>
      <c r="AN637">
        <v>0</v>
      </c>
      <c r="AO637">
        <v>0</v>
      </c>
      <c r="AP637">
        <v>1120</v>
      </c>
      <c r="AT637" t="str">
        <f t="shared" si="143"/>
        <v>9791159284663</v>
      </c>
      <c r="AV637" t="str">
        <f t="shared" si="144"/>
        <v>판타지 웹소설 &gt; 퓨전 판타지</v>
      </c>
    </row>
    <row r="638" spans="1:49" x14ac:dyDescent="0.4">
      <c r="A638">
        <v>2313007845</v>
      </c>
      <c r="B638">
        <v>2313007936</v>
      </c>
      <c r="C638" t="str">
        <f>T("간신이 나라를 살림 92화")</f>
        <v>간신이 나라를 살림 92화</v>
      </c>
      <c r="D638" t="str">
        <f>T("92")</f>
        <v>92</v>
      </c>
      <c r="E638" t="str">
        <f t="shared" si="140"/>
        <v>루이세</v>
      </c>
      <c r="H638" t="str">
        <f t="shared" si="141"/>
        <v>스토리위즈</v>
      </c>
      <c r="I638" t="str">
        <f t="shared" si="142"/>
        <v>간신이 나라를 살림</v>
      </c>
      <c r="J638">
        <v>100</v>
      </c>
      <c r="K638">
        <v>1600</v>
      </c>
      <c r="L638">
        <v>16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1600</v>
      </c>
      <c r="AH638">
        <v>16</v>
      </c>
      <c r="AI638">
        <v>0</v>
      </c>
      <c r="AJ638">
        <v>0</v>
      </c>
      <c r="AK638">
        <v>1600</v>
      </c>
      <c r="AL638">
        <v>0</v>
      </c>
      <c r="AM638">
        <v>0</v>
      </c>
      <c r="AN638">
        <v>0</v>
      </c>
      <c r="AO638">
        <v>0</v>
      </c>
      <c r="AP638">
        <v>1120</v>
      </c>
      <c r="AT638" t="str">
        <f t="shared" si="143"/>
        <v>9791159284663</v>
      </c>
      <c r="AV638" t="str">
        <f t="shared" si="144"/>
        <v>판타지 웹소설 &gt; 퓨전 판타지</v>
      </c>
    </row>
    <row r="639" spans="1:49" x14ac:dyDescent="0.4">
      <c r="A639">
        <v>2313007845</v>
      </c>
      <c r="B639">
        <v>2313007941</v>
      </c>
      <c r="C639" t="str">
        <f>T("간신이 나라를 살림 97화")</f>
        <v>간신이 나라를 살림 97화</v>
      </c>
      <c r="D639" t="str">
        <f>T("97")</f>
        <v>97</v>
      </c>
      <c r="E639" t="str">
        <f t="shared" si="140"/>
        <v>루이세</v>
      </c>
      <c r="H639" t="str">
        <f t="shared" si="141"/>
        <v>스토리위즈</v>
      </c>
      <c r="I639" t="str">
        <f t="shared" si="142"/>
        <v>간신이 나라를 살림</v>
      </c>
      <c r="J639">
        <v>100</v>
      </c>
      <c r="K639">
        <v>1600</v>
      </c>
      <c r="L639">
        <v>16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1600</v>
      </c>
      <c r="AH639">
        <v>16</v>
      </c>
      <c r="AI639">
        <v>0</v>
      </c>
      <c r="AJ639">
        <v>0</v>
      </c>
      <c r="AK639">
        <v>1600</v>
      </c>
      <c r="AL639">
        <v>0</v>
      </c>
      <c r="AM639">
        <v>0</v>
      </c>
      <c r="AN639">
        <v>0</v>
      </c>
      <c r="AO639">
        <v>0</v>
      </c>
      <c r="AP639">
        <v>1120</v>
      </c>
      <c r="AT639" t="str">
        <f t="shared" si="143"/>
        <v>9791159284663</v>
      </c>
      <c r="AV639" t="str">
        <f t="shared" si="144"/>
        <v>판타지 웹소설 &gt; 퓨전 판타지</v>
      </c>
    </row>
    <row r="640" spans="1:49" x14ac:dyDescent="0.4">
      <c r="A640">
        <v>2313007845</v>
      </c>
      <c r="B640">
        <v>2313007944</v>
      </c>
      <c r="C640" t="str">
        <f>T("간신이 나라를 살림 100화")</f>
        <v>간신이 나라를 살림 100화</v>
      </c>
      <c r="D640" t="str">
        <f>T("100")</f>
        <v>100</v>
      </c>
      <c r="E640" t="str">
        <f t="shared" si="140"/>
        <v>루이세</v>
      </c>
      <c r="H640" t="str">
        <f t="shared" si="141"/>
        <v>스토리위즈</v>
      </c>
      <c r="I640" t="str">
        <f t="shared" si="142"/>
        <v>간신이 나라를 살림</v>
      </c>
      <c r="J640">
        <v>100</v>
      </c>
      <c r="K640">
        <v>1600</v>
      </c>
      <c r="L640">
        <v>16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1600</v>
      </c>
      <c r="AH640">
        <v>16</v>
      </c>
      <c r="AI640">
        <v>0</v>
      </c>
      <c r="AJ640">
        <v>0</v>
      </c>
      <c r="AK640">
        <v>1600</v>
      </c>
      <c r="AL640">
        <v>0</v>
      </c>
      <c r="AM640">
        <v>0</v>
      </c>
      <c r="AN640">
        <v>0</v>
      </c>
      <c r="AO640">
        <v>0</v>
      </c>
      <c r="AP640">
        <v>1120</v>
      </c>
      <c r="AT640" t="str">
        <f t="shared" si="143"/>
        <v>9791159284663</v>
      </c>
      <c r="AV640" t="str">
        <f t="shared" si="144"/>
        <v>판타지 웹소설 &gt; 퓨전 판타지</v>
      </c>
    </row>
    <row r="641" spans="1:48" x14ac:dyDescent="0.4">
      <c r="A641">
        <v>2313012849</v>
      </c>
      <c r="B641">
        <v>2313012904</v>
      </c>
      <c r="C641" t="str">
        <f>T("디버프 마스터 56화")</f>
        <v>디버프 마스터 56화</v>
      </c>
      <c r="D641" t="str">
        <f>T("56")</f>
        <v>56</v>
      </c>
      <c r="E641" t="str">
        <f>T("담화공")</f>
        <v>담화공</v>
      </c>
      <c r="H641" t="str">
        <f t="shared" si="141"/>
        <v>스토리위즈</v>
      </c>
      <c r="I641" t="str">
        <f>T("디버프 마스터")</f>
        <v>디버프 마스터</v>
      </c>
      <c r="J641">
        <v>100</v>
      </c>
      <c r="K641">
        <v>1600</v>
      </c>
      <c r="L641">
        <v>16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1600</v>
      </c>
      <c r="AH641">
        <v>16</v>
      </c>
      <c r="AI641">
        <v>0</v>
      </c>
      <c r="AJ641">
        <v>0</v>
      </c>
      <c r="AK641">
        <v>1500</v>
      </c>
      <c r="AL641">
        <v>0</v>
      </c>
      <c r="AM641">
        <v>119.05</v>
      </c>
      <c r="AN641">
        <v>-35.72</v>
      </c>
      <c r="AO641">
        <v>0</v>
      </c>
      <c r="AP641">
        <v>1108.33</v>
      </c>
      <c r="AT641" t="str">
        <f>T("9791137602663")</f>
        <v>9791137602663</v>
      </c>
      <c r="AV641" t="str">
        <f t="shared" si="144"/>
        <v>판타지 웹소설 &gt; 퓨전 판타지</v>
      </c>
    </row>
    <row r="642" spans="1:48" x14ac:dyDescent="0.4">
      <c r="A642">
        <v>2313012849</v>
      </c>
      <c r="B642">
        <v>2313012905</v>
      </c>
      <c r="C642" t="str">
        <f>T("디버프 마스터 57화")</f>
        <v>디버프 마스터 57화</v>
      </c>
      <c r="D642" t="str">
        <f>T("57")</f>
        <v>57</v>
      </c>
      <c r="E642" t="str">
        <f>T("담화공")</f>
        <v>담화공</v>
      </c>
      <c r="H642" t="str">
        <f t="shared" si="141"/>
        <v>스토리위즈</v>
      </c>
      <c r="I642" t="str">
        <f>T("디버프 마스터")</f>
        <v>디버프 마스터</v>
      </c>
      <c r="J642">
        <v>100</v>
      </c>
      <c r="K642">
        <v>1600</v>
      </c>
      <c r="L642">
        <v>16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1600</v>
      </c>
      <c r="AH642">
        <v>16</v>
      </c>
      <c r="AI642">
        <v>0</v>
      </c>
      <c r="AJ642">
        <v>0</v>
      </c>
      <c r="AK642">
        <v>1500</v>
      </c>
      <c r="AL642">
        <v>0</v>
      </c>
      <c r="AM642">
        <v>119.05</v>
      </c>
      <c r="AN642">
        <v>-35.72</v>
      </c>
      <c r="AO642">
        <v>0</v>
      </c>
      <c r="AP642">
        <v>1108.33</v>
      </c>
      <c r="AT642" t="str">
        <f>T("9791137602663")</f>
        <v>9791137602663</v>
      </c>
      <c r="AV642" t="str">
        <f t="shared" si="144"/>
        <v>판타지 웹소설 &gt; 퓨전 판타지</v>
      </c>
    </row>
    <row r="643" spans="1:48" x14ac:dyDescent="0.4">
      <c r="A643">
        <v>2313012849</v>
      </c>
      <c r="B643">
        <v>2313012906</v>
      </c>
      <c r="C643" t="str">
        <f>T("디버프 마스터 58화")</f>
        <v>디버프 마스터 58화</v>
      </c>
      <c r="D643" t="str">
        <f>T("58")</f>
        <v>58</v>
      </c>
      <c r="E643" t="str">
        <f>T("담화공")</f>
        <v>담화공</v>
      </c>
      <c r="H643" t="str">
        <f t="shared" si="141"/>
        <v>스토리위즈</v>
      </c>
      <c r="I643" t="str">
        <f>T("디버프 마스터")</f>
        <v>디버프 마스터</v>
      </c>
      <c r="J643">
        <v>100</v>
      </c>
      <c r="K643">
        <v>1600</v>
      </c>
      <c r="L643">
        <v>16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1600</v>
      </c>
      <c r="AH643">
        <v>16</v>
      </c>
      <c r="AI643">
        <v>0</v>
      </c>
      <c r="AJ643">
        <v>0</v>
      </c>
      <c r="AK643">
        <v>1500</v>
      </c>
      <c r="AL643">
        <v>0</v>
      </c>
      <c r="AM643">
        <v>119.05</v>
      </c>
      <c r="AN643">
        <v>-35.72</v>
      </c>
      <c r="AO643">
        <v>0</v>
      </c>
      <c r="AP643">
        <v>1108.33</v>
      </c>
      <c r="AT643" t="str">
        <f>T("9791137602663")</f>
        <v>9791137602663</v>
      </c>
      <c r="AV643" t="str">
        <f t="shared" si="144"/>
        <v>판타지 웹소설 &gt; 퓨전 판타지</v>
      </c>
    </row>
    <row r="644" spans="1:48" x14ac:dyDescent="0.4">
      <c r="A644">
        <v>2313017657</v>
      </c>
      <c r="B644">
        <v>2313017765</v>
      </c>
      <c r="C644" t="str">
        <f>T("회귀자의 슬기로운 복수생활 109화")</f>
        <v>회귀자의 슬기로운 복수생활 109화</v>
      </c>
      <c r="D644" t="str">
        <f>T("109")</f>
        <v>109</v>
      </c>
      <c r="E644" t="str">
        <f>T("구공")</f>
        <v>구공</v>
      </c>
      <c r="H644" t="str">
        <f t="shared" si="141"/>
        <v>스토리위즈</v>
      </c>
      <c r="I644" t="str">
        <f>T("회귀자의 슬기로운 복수생활")</f>
        <v>회귀자의 슬기로운 복수생활</v>
      </c>
      <c r="J644">
        <v>100</v>
      </c>
      <c r="K644">
        <v>1600</v>
      </c>
      <c r="L644">
        <v>16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1600</v>
      </c>
      <c r="AH644">
        <v>16</v>
      </c>
      <c r="AI644">
        <v>0</v>
      </c>
      <c r="AJ644">
        <v>0</v>
      </c>
      <c r="AK644">
        <v>1600</v>
      </c>
      <c r="AL644">
        <v>0</v>
      </c>
      <c r="AM644">
        <v>0</v>
      </c>
      <c r="AN644">
        <v>0</v>
      </c>
      <c r="AO644">
        <v>0</v>
      </c>
      <c r="AP644">
        <v>1120</v>
      </c>
      <c r="AT644" t="str">
        <f>T("9791137601710")</f>
        <v>9791137601710</v>
      </c>
      <c r="AV644" t="str">
        <f t="shared" si="144"/>
        <v>판타지 웹소설 &gt; 퓨전 판타지</v>
      </c>
    </row>
    <row r="645" spans="1:48" x14ac:dyDescent="0.4">
      <c r="A645">
        <v>2313017657</v>
      </c>
      <c r="B645">
        <v>2313017767</v>
      </c>
      <c r="C645" t="str">
        <f>T("회귀자의 슬기로운 복수생활 111화")</f>
        <v>회귀자의 슬기로운 복수생활 111화</v>
      </c>
      <c r="D645" t="str">
        <f>T("111")</f>
        <v>111</v>
      </c>
      <c r="E645" t="str">
        <f>T("구공")</f>
        <v>구공</v>
      </c>
      <c r="H645" t="str">
        <f t="shared" si="141"/>
        <v>스토리위즈</v>
      </c>
      <c r="I645" t="str">
        <f>T("회귀자의 슬기로운 복수생활")</f>
        <v>회귀자의 슬기로운 복수생활</v>
      </c>
      <c r="J645">
        <v>100</v>
      </c>
      <c r="K645">
        <v>1600</v>
      </c>
      <c r="L645">
        <v>16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1600</v>
      </c>
      <c r="AH645">
        <v>16</v>
      </c>
      <c r="AI645">
        <v>0</v>
      </c>
      <c r="AJ645">
        <v>0</v>
      </c>
      <c r="AK645">
        <v>1600</v>
      </c>
      <c r="AL645">
        <v>0</v>
      </c>
      <c r="AM645">
        <v>0</v>
      </c>
      <c r="AN645">
        <v>0</v>
      </c>
      <c r="AO645">
        <v>0</v>
      </c>
      <c r="AP645">
        <v>1120</v>
      </c>
      <c r="AT645" t="str">
        <f>T("9791137601710")</f>
        <v>9791137601710</v>
      </c>
      <c r="AV645" t="str">
        <f t="shared" si="144"/>
        <v>판타지 웹소설 &gt; 퓨전 판타지</v>
      </c>
    </row>
    <row r="646" spans="1:48" x14ac:dyDescent="0.4">
      <c r="A646">
        <v>2313007845</v>
      </c>
      <c r="B646">
        <v>2313007918</v>
      </c>
      <c r="C646" t="str">
        <f>T("간신이 나라를 살림 74화")</f>
        <v>간신이 나라를 살림 74화</v>
      </c>
      <c r="D646" t="str">
        <f>T("74")</f>
        <v>74</v>
      </c>
      <c r="E646" t="str">
        <f t="shared" ref="E646:E655" si="145">T("루이세")</f>
        <v>루이세</v>
      </c>
      <c r="H646" t="str">
        <f t="shared" si="141"/>
        <v>스토리위즈</v>
      </c>
      <c r="I646" t="str">
        <f t="shared" ref="I646:I655" si="146">T("간신이 나라를 살림")</f>
        <v>간신이 나라를 살림</v>
      </c>
      <c r="J646">
        <v>100</v>
      </c>
      <c r="K646">
        <v>1500</v>
      </c>
      <c r="L646">
        <v>15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1500</v>
      </c>
      <c r="AH646">
        <v>15</v>
      </c>
      <c r="AI646">
        <v>0</v>
      </c>
      <c r="AJ646">
        <v>0</v>
      </c>
      <c r="AK646">
        <v>1500</v>
      </c>
      <c r="AL646">
        <v>0</v>
      </c>
      <c r="AM646">
        <v>0</v>
      </c>
      <c r="AN646">
        <v>0</v>
      </c>
      <c r="AO646">
        <v>0</v>
      </c>
      <c r="AP646">
        <v>1050</v>
      </c>
      <c r="AT646" t="str">
        <f t="shared" ref="AT646:AT655" si="147">T("9791159284663")</f>
        <v>9791159284663</v>
      </c>
      <c r="AV646" t="str">
        <f t="shared" si="144"/>
        <v>판타지 웹소설 &gt; 퓨전 판타지</v>
      </c>
    </row>
    <row r="647" spans="1:48" x14ac:dyDescent="0.4">
      <c r="A647">
        <v>2313007845</v>
      </c>
      <c r="B647">
        <v>2313007942</v>
      </c>
      <c r="C647" t="str">
        <f>T("간신이 나라를 살림 98화")</f>
        <v>간신이 나라를 살림 98화</v>
      </c>
      <c r="D647" t="str">
        <f>T("98")</f>
        <v>98</v>
      </c>
      <c r="E647" t="str">
        <f t="shared" si="145"/>
        <v>루이세</v>
      </c>
      <c r="H647" t="str">
        <f t="shared" si="141"/>
        <v>스토리위즈</v>
      </c>
      <c r="I647" t="str">
        <f t="shared" si="146"/>
        <v>간신이 나라를 살림</v>
      </c>
      <c r="J647">
        <v>100</v>
      </c>
      <c r="K647">
        <v>1500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1500</v>
      </c>
      <c r="AH647">
        <v>15</v>
      </c>
      <c r="AI647">
        <v>0</v>
      </c>
      <c r="AJ647">
        <v>0</v>
      </c>
      <c r="AK647">
        <v>1500</v>
      </c>
      <c r="AL647">
        <v>0</v>
      </c>
      <c r="AM647">
        <v>0</v>
      </c>
      <c r="AN647">
        <v>0</v>
      </c>
      <c r="AO647">
        <v>0</v>
      </c>
      <c r="AP647">
        <v>1050</v>
      </c>
      <c r="AT647" t="str">
        <f t="shared" si="147"/>
        <v>9791159284663</v>
      </c>
      <c r="AV647" t="str">
        <f t="shared" si="144"/>
        <v>판타지 웹소설 &gt; 퓨전 판타지</v>
      </c>
    </row>
    <row r="648" spans="1:48" x14ac:dyDescent="0.4">
      <c r="A648">
        <v>2313007845</v>
      </c>
      <c r="B648">
        <v>2313007943</v>
      </c>
      <c r="C648" t="str">
        <f>T("간신이 나라를 살림 99화")</f>
        <v>간신이 나라를 살림 99화</v>
      </c>
      <c r="D648" t="str">
        <f>T("99")</f>
        <v>99</v>
      </c>
      <c r="E648" t="str">
        <f t="shared" si="145"/>
        <v>루이세</v>
      </c>
      <c r="H648" t="str">
        <f t="shared" si="141"/>
        <v>스토리위즈</v>
      </c>
      <c r="I648" t="str">
        <f t="shared" si="146"/>
        <v>간신이 나라를 살림</v>
      </c>
      <c r="J648">
        <v>100</v>
      </c>
      <c r="K648">
        <v>1500</v>
      </c>
      <c r="L648">
        <v>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1500</v>
      </c>
      <c r="AH648">
        <v>15</v>
      </c>
      <c r="AI648">
        <v>0</v>
      </c>
      <c r="AJ648">
        <v>0</v>
      </c>
      <c r="AK648">
        <v>1500</v>
      </c>
      <c r="AL648">
        <v>0</v>
      </c>
      <c r="AM648">
        <v>0</v>
      </c>
      <c r="AN648">
        <v>0</v>
      </c>
      <c r="AO648">
        <v>0</v>
      </c>
      <c r="AP648">
        <v>1050</v>
      </c>
      <c r="AT648" t="str">
        <f t="shared" si="147"/>
        <v>9791159284663</v>
      </c>
      <c r="AV648" t="str">
        <f t="shared" si="144"/>
        <v>판타지 웹소설 &gt; 퓨전 판타지</v>
      </c>
    </row>
    <row r="649" spans="1:48" x14ac:dyDescent="0.4">
      <c r="A649">
        <v>2313007845</v>
      </c>
      <c r="B649">
        <v>2313007945</v>
      </c>
      <c r="C649" t="str">
        <f>T("간신이 나라를 살림 101화")</f>
        <v>간신이 나라를 살림 101화</v>
      </c>
      <c r="D649" t="str">
        <f>T("101")</f>
        <v>101</v>
      </c>
      <c r="E649" t="str">
        <f t="shared" si="145"/>
        <v>루이세</v>
      </c>
      <c r="H649" t="str">
        <f t="shared" si="141"/>
        <v>스토리위즈</v>
      </c>
      <c r="I649" t="str">
        <f t="shared" si="146"/>
        <v>간신이 나라를 살림</v>
      </c>
      <c r="J649">
        <v>100</v>
      </c>
      <c r="K649">
        <v>1500</v>
      </c>
      <c r="L649">
        <v>15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1500</v>
      </c>
      <c r="AH649">
        <v>15</v>
      </c>
      <c r="AI649">
        <v>0</v>
      </c>
      <c r="AJ649">
        <v>0</v>
      </c>
      <c r="AK649">
        <v>1500</v>
      </c>
      <c r="AL649">
        <v>0</v>
      </c>
      <c r="AM649">
        <v>0</v>
      </c>
      <c r="AN649">
        <v>0</v>
      </c>
      <c r="AO649">
        <v>0</v>
      </c>
      <c r="AP649">
        <v>1050</v>
      </c>
      <c r="AT649" t="str">
        <f t="shared" si="147"/>
        <v>9791159284663</v>
      </c>
      <c r="AV649" t="str">
        <f t="shared" si="144"/>
        <v>판타지 웹소설 &gt; 퓨전 판타지</v>
      </c>
    </row>
    <row r="650" spans="1:48" x14ac:dyDescent="0.4">
      <c r="A650">
        <v>2313007845</v>
      </c>
      <c r="B650">
        <v>2313007947</v>
      </c>
      <c r="C650" t="str">
        <f>T("간신이 나라를 살림 103화")</f>
        <v>간신이 나라를 살림 103화</v>
      </c>
      <c r="D650" t="str">
        <f>T("103")</f>
        <v>103</v>
      </c>
      <c r="E650" t="str">
        <f t="shared" si="145"/>
        <v>루이세</v>
      </c>
      <c r="H650" t="str">
        <f t="shared" si="141"/>
        <v>스토리위즈</v>
      </c>
      <c r="I650" t="str">
        <f t="shared" si="146"/>
        <v>간신이 나라를 살림</v>
      </c>
      <c r="J650">
        <v>100</v>
      </c>
      <c r="K650">
        <v>1500</v>
      </c>
      <c r="L650">
        <v>15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1500</v>
      </c>
      <c r="AH650">
        <v>15</v>
      </c>
      <c r="AI650">
        <v>0</v>
      </c>
      <c r="AJ650">
        <v>0</v>
      </c>
      <c r="AK650">
        <v>1500</v>
      </c>
      <c r="AL650">
        <v>0</v>
      </c>
      <c r="AM650">
        <v>0</v>
      </c>
      <c r="AN650">
        <v>0</v>
      </c>
      <c r="AO650">
        <v>0</v>
      </c>
      <c r="AP650">
        <v>1050</v>
      </c>
      <c r="AT650" t="str">
        <f t="shared" si="147"/>
        <v>9791159284663</v>
      </c>
      <c r="AV650" t="str">
        <f t="shared" si="144"/>
        <v>판타지 웹소설 &gt; 퓨전 판타지</v>
      </c>
    </row>
    <row r="651" spans="1:48" x14ac:dyDescent="0.4">
      <c r="A651">
        <v>2313007845</v>
      </c>
      <c r="B651">
        <v>2313007948</v>
      </c>
      <c r="C651" t="str">
        <f>T("간신이 나라를 살림 104화")</f>
        <v>간신이 나라를 살림 104화</v>
      </c>
      <c r="D651" t="str">
        <f>T("104")</f>
        <v>104</v>
      </c>
      <c r="E651" t="str">
        <f t="shared" si="145"/>
        <v>루이세</v>
      </c>
      <c r="H651" t="str">
        <f t="shared" si="141"/>
        <v>스토리위즈</v>
      </c>
      <c r="I651" t="str">
        <f t="shared" si="146"/>
        <v>간신이 나라를 살림</v>
      </c>
      <c r="J651">
        <v>100</v>
      </c>
      <c r="K651">
        <v>1500</v>
      </c>
      <c r="L651">
        <v>15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1500</v>
      </c>
      <c r="AH651">
        <v>15</v>
      </c>
      <c r="AI651">
        <v>0</v>
      </c>
      <c r="AJ651">
        <v>0</v>
      </c>
      <c r="AK651">
        <v>1500</v>
      </c>
      <c r="AL651">
        <v>0</v>
      </c>
      <c r="AM651">
        <v>0</v>
      </c>
      <c r="AN651">
        <v>0</v>
      </c>
      <c r="AO651">
        <v>0</v>
      </c>
      <c r="AP651">
        <v>1050</v>
      </c>
      <c r="AT651" t="str">
        <f t="shared" si="147"/>
        <v>9791159284663</v>
      </c>
      <c r="AV651" t="str">
        <f t="shared" si="144"/>
        <v>판타지 웹소설 &gt; 퓨전 판타지</v>
      </c>
    </row>
    <row r="652" spans="1:48" x14ac:dyDescent="0.4">
      <c r="A652">
        <v>2313007845</v>
      </c>
      <c r="B652">
        <v>2313007949</v>
      </c>
      <c r="C652" t="str">
        <f>T("간신이 나라를 살림 105화")</f>
        <v>간신이 나라를 살림 105화</v>
      </c>
      <c r="D652" t="str">
        <f>T("105")</f>
        <v>105</v>
      </c>
      <c r="E652" t="str">
        <f t="shared" si="145"/>
        <v>루이세</v>
      </c>
      <c r="H652" t="str">
        <f t="shared" si="141"/>
        <v>스토리위즈</v>
      </c>
      <c r="I652" t="str">
        <f t="shared" si="146"/>
        <v>간신이 나라를 살림</v>
      </c>
      <c r="J652">
        <v>100</v>
      </c>
      <c r="K652">
        <v>1500</v>
      </c>
      <c r="L652">
        <v>15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1500</v>
      </c>
      <c r="AH652">
        <v>15</v>
      </c>
      <c r="AI652">
        <v>0</v>
      </c>
      <c r="AJ652">
        <v>0</v>
      </c>
      <c r="AK652">
        <v>1500</v>
      </c>
      <c r="AL652">
        <v>0</v>
      </c>
      <c r="AM652">
        <v>0</v>
      </c>
      <c r="AN652">
        <v>0</v>
      </c>
      <c r="AO652">
        <v>0</v>
      </c>
      <c r="AP652">
        <v>1050</v>
      </c>
      <c r="AT652" t="str">
        <f t="shared" si="147"/>
        <v>9791159284663</v>
      </c>
      <c r="AV652" t="str">
        <f t="shared" si="144"/>
        <v>판타지 웹소설 &gt; 퓨전 판타지</v>
      </c>
    </row>
    <row r="653" spans="1:48" x14ac:dyDescent="0.4">
      <c r="A653">
        <v>2313007845</v>
      </c>
      <c r="B653">
        <v>2313007950</v>
      </c>
      <c r="C653" t="str">
        <f>T("간신이 나라를 살림 106화")</f>
        <v>간신이 나라를 살림 106화</v>
      </c>
      <c r="D653" t="str">
        <f>T("106")</f>
        <v>106</v>
      </c>
      <c r="E653" t="str">
        <f t="shared" si="145"/>
        <v>루이세</v>
      </c>
      <c r="H653" t="str">
        <f t="shared" si="141"/>
        <v>스토리위즈</v>
      </c>
      <c r="I653" t="str">
        <f t="shared" si="146"/>
        <v>간신이 나라를 살림</v>
      </c>
      <c r="J653">
        <v>100</v>
      </c>
      <c r="K653">
        <v>1500</v>
      </c>
      <c r="L653">
        <v>15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1500</v>
      </c>
      <c r="AH653">
        <v>15</v>
      </c>
      <c r="AI653">
        <v>0</v>
      </c>
      <c r="AJ653">
        <v>0</v>
      </c>
      <c r="AK653">
        <v>1500</v>
      </c>
      <c r="AL653">
        <v>0</v>
      </c>
      <c r="AM653">
        <v>0</v>
      </c>
      <c r="AN653">
        <v>0</v>
      </c>
      <c r="AO653">
        <v>0</v>
      </c>
      <c r="AP653">
        <v>1050</v>
      </c>
      <c r="AT653" t="str">
        <f t="shared" si="147"/>
        <v>9791159284663</v>
      </c>
      <c r="AV653" t="str">
        <f t="shared" si="144"/>
        <v>판타지 웹소설 &gt; 퓨전 판타지</v>
      </c>
    </row>
    <row r="654" spans="1:48" x14ac:dyDescent="0.4">
      <c r="A654">
        <v>2313007845</v>
      </c>
      <c r="B654">
        <v>2313007951</v>
      </c>
      <c r="C654" t="str">
        <f>T("간신이 나라를 살림 107화")</f>
        <v>간신이 나라를 살림 107화</v>
      </c>
      <c r="D654" t="str">
        <f>T("107")</f>
        <v>107</v>
      </c>
      <c r="E654" t="str">
        <f t="shared" si="145"/>
        <v>루이세</v>
      </c>
      <c r="H654" t="str">
        <f t="shared" si="141"/>
        <v>스토리위즈</v>
      </c>
      <c r="I654" t="str">
        <f t="shared" si="146"/>
        <v>간신이 나라를 살림</v>
      </c>
      <c r="J654">
        <v>100</v>
      </c>
      <c r="K654">
        <v>1500</v>
      </c>
      <c r="L654">
        <v>15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1500</v>
      </c>
      <c r="AH654">
        <v>15</v>
      </c>
      <c r="AI654">
        <v>0</v>
      </c>
      <c r="AJ654">
        <v>0</v>
      </c>
      <c r="AK654">
        <v>1500</v>
      </c>
      <c r="AL654">
        <v>0</v>
      </c>
      <c r="AM654">
        <v>0</v>
      </c>
      <c r="AN654">
        <v>0</v>
      </c>
      <c r="AO654">
        <v>0</v>
      </c>
      <c r="AP654">
        <v>1050</v>
      </c>
      <c r="AT654" t="str">
        <f t="shared" si="147"/>
        <v>9791159284663</v>
      </c>
      <c r="AV654" t="str">
        <f t="shared" si="144"/>
        <v>판타지 웹소설 &gt; 퓨전 판타지</v>
      </c>
    </row>
    <row r="655" spans="1:48" x14ac:dyDescent="0.4">
      <c r="A655">
        <v>2313007845</v>
      </c>
      <c r="B655">
        <v>2313007958</v>
      </c>
      <c r="C655" t="str">
        <f>T("간신이 나라를 살림 114화")</f>
        <v>간신이 나라를 살림 114화</v>
      </c>
      <c r="D655" t="str">
        <f>T("114")</f>
        <v>114</v>
      </c>
      <c r="E655" t="str">
        <f t="shared" si="145"/>
        <v>루이세</v>
      </c>
      <c r="H655" t="str">
        <f t="shared" si="141"/>
        <v>스토리위즈</v>
      </c>
      <c r="I655" t="str">
        <f t="shared" si="146"/>
        <v>간신이 나라를 살림</v>
      </c>
      <c r="J655">
        <v>100</v>
      </c>
      <c r="K655">
        <v>1500</v>
      </c>
      <c r="L655">
        <v>15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1500</v>
      </c>
      <c r="AH655">
        <v>15</v>
      </c>
      <c r="AI655">
        <v>0</v>
      </c>
      <c r="AJ655">
        <v>0</v>
      </c>
      <c r="AK655">
        <v>1500</v>
      </c>
      <c r="AL655">
        <v>0</v>
      </c>
      <c r="AM655">
        <v>0</v>
      </c>
      <c r="AN655">
        <v>0</v>
      </c>
      <c r="AO655">
        <v>0</v>
      </c>
      <c r="AP655">
        <v>1050</v>
      </c>
      <c r="AT655" t="str">
        <f t="shared" si="147"/>
        <v>9791159284663</v>
      </c>
      <c r="AV655" t="str">
        <f t="shared" si="144"/>
        <v>판타지 웹소설 &gt; 퓨전 판타지</v>
      </c>
    </row>
    <row r="656" spans="1:48" x14ac:dyDescent="0.4">
      <c r="A656">
        <v>2313012849</v>
      </c>
      <c r="B656">
        <v>2313012915</v>
      </c>
      <c r="C656" t="str">
        <f>T("디버프 마스터 67화")</f>
        <v>디버프 마스터 67화</v>
      </c>
      <c r="D656" t="str">
        <f>T("67")</f>
        <v>67</v>
      </c>
      <c r="E656" t="str">
        <f t="shared" ref="E656:E661" si="148">T("담화공")</f>
        <v>담화공</v>
      </c>
      <c r="H656" t="str">
        <f t="shared" si="141"/>
        <v>스토리위즈</v>
      </c>
      <c r="I656" t="str">
        <f t="shared" ref="I656:I661" si="149">T("디버프 마스터")</f>
        <v>디버프 마스터</v>
      </c>
      <c r="J656">
        <v>100</v>
      </c>
      <c r="K656">
        <v>1500</v>
      </c>
      <c r="L656">
        <v>15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1500</v>
      </c>
      <c r="AH656">
        <v>15</v>
      </c>
      <c r="AI656">
        <v>0</v>
      </c>
      <c r="AJ656">
        <v>0</v>
      </c>
      <c r="AK656">
        <v>1400</v>
      </c>
      <c r="AL656">
        <v>0</v>
      </c>
      <c r="AM656">
        <v>119.05</v>
      </c>
      <c r="AN656">
        <v>-35.72</v>
      </c>
      <c r="AO656">
        <v>0</v>
      </c>
      <c r="AP656">
        <v>1038.33</v>
      </c>
      <c r="AT656" t="str">
        <f t="shared" ref="AT656:AT661" si="150">T("9791137602663")</f>
        <v>9791137602663</v>
      </c>
      <c r="AV656" t="str">
        <f t="shared" si="144"/>
        <v>판타지 웹소설 &gt; 퓨전 판타지</v>
      </c>
    </row>
    <row r="657" spans="1:49" x14ac:dyDescent="0.4">
      <c r="A657">
        <v>2313012849</v>
      </c>
      <c r="B657">
        <v>2313012917</v>
      </c>
      <c r="C657" t="str">
        <f>T("디버프 마스터 69화")</f>
        <v>디버프 마스터 69화</v>
      </c>
      <c r="D657" t="str">
        <f>T("69")</f>
        <v>69</v>
      </c>
      <c r="E657" t="str">
        <f t="shared" si="148"/>
        <v>담화공</v>
      </c>
      <c r="H657" t="str">
        <f t="shared" si="141"/>
        <v>스토리위즈</v>
      </c>
      <c r="I657" t="str">
        <f t="shared" si="149"/>
        <v>디버프 마스터</v>
      </c>
      <c r="J657">
        <v>100</v>
      </c>
      <c r="K657">
        <v>1500</v>
      </c>
      <c r="L657">
        <v>15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1500</v>
      </c>
      <c r="AH657">
        <v>15</v>
      </c>
      <c r="AI657">
        <v>0</v>
      </c>
      <c r="AJ657">
        <v>0</v>
      </c>
      <c r="AK657">
        <v>1400</v>
      </c>
      <c r="AL657">
        <v>0</v>
      </c>
      <c r="AM657">
        <v>119.05</v>
      </c>
      <c r="AN657">
        <v>-35.72</v>
      </c>
      <c r="AO657">
        <v>0</v>
      </c>
      <c r="AP657">
        <v>1038.33</v>
      </c>
      <c r="AT657" t="str">
        <f t="shared" si="150"/>
        <v>9791137602663</v>
      </c>
      <c r="AV657" t="str">
        <f t="shared" si="144"/>
        <v>판타지 웹소설 &gt; 퓨전 판타지</v>
      </c>
    </row>
    <row r="658" spans="1:49" x14ac:dyDescent="0.4">
      <c r="A658">
        <v>2313012849</v>
      </c>
      <c r="B658">
        <v>2313012918</v>
      </c>
      <c r="C658" t="str">
        <f>T("디버프 마스터 70화")</f>
        <v>디버프 마스터 70화</v>
      </c>
      <c r="D658" t="str">
        <f>T("70")</f>
        <v>70</v>
      </c>
      <c r="E658" t="str">
        <f t="shared" si="148"/>
        <v>담화공</v>
      </c>
      <c r="H658" t="str">
        <f t="shared" si="141"/>
        <v>스토리위즈</v>
      </c>
      <c r="I658" t="str">
        <f t="shared" si="149"/>
        <v>디버프 마스터</v>
      </c>
      <c r="J658">
        <v>100</v>
      </c>
      <c r="K658">
        <v>1500</v>
      </c>
      <c r="L658">
        <v>15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1500</v>
      </c>
      <c r="AH658">
        <v>15</v>
      </c>
      <c r="AI658">
        <v>0</v>
      </c>
      <c r="AJ658">
        <v>0</v>
      </c>
      <c r="AK658">
        <v>1400</v>
      </c>
      <c r="AL658">
        <v>0</v>
      </c>
      <c r="AM658">
        <v>119.05</v>
      </c>
      <c r="AN658">
        <v>-35.72</v>
      </c>
      <c r="AO658">
        <v>0</v>
      </c>
      <c r="AP658">
        <v>1038.33</v>
      </c>
      <c r="AT658" t="str">
        <f t="shared" si="150"/>
        <v>9791137602663</v>
      </c>
      <c r="AV658" t="str">
        <f t="shared" si="144"/>
        <v>판타지 웹소설 &gt; 퓨전 판타지</v>
      </c>
    </row>
    <row r="659" spans="1:49" x14ac:dyDescent="0.4">
      <c r="A659">
        <v>2313012849</v>
      </c>
      <c r="B659">
        <v>2313012919</v>
      </c>
      <c r="C659" t="str">
        <f>T("디버프 마스터 71화")</f>
        <v>디버프 마스터 71화</v>
      </c>
      <c r="D659" t="str">
        <f>T("71")</f>
        <v>71</v>
      </c>
      <c r="E659" t="str">
        <f t="shared" si="148"/>
        <v>담화공</v>
      </c>
      <c r="H659" t="str">
        <f t="shared" si="141"/>
        <v>스토리위즈</v>
      </c>
      <c r="I659" t="str">
        <f t="shared" si="149"/>
        <v>디버프 마스터</v>
      </c>
      <c r="J659">
        <v>100</v>
      </c>
      <c r="K659">
        <v>1500</v>
      </c>
      <c r="L659">
        <v>15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1500</v>
      </c>
      <c r="AH659">
        <v>15</v>
      </c>
      <c r="AI659">
        <v>0</v>
      </c>
      <c r="AJ659">
        <v>0</v>
      </c>
      <c r="AK659">
        <v>1400</v>
      </c>
      <c r="AL659">
        <v>0</v>
      </c>
      <c r="AM659">
        <v>119.05</v>
      </c>
      <c r="AN659">
        <v>-35.72</v>
      </c>
      <c r="AO659">
        <v>0</v>
      </c>
      <c r="AP659">
        <v>1038.33</v>
      </c>
      <c r="AT659" t="str">
        <f t="shared" si="150"/>
        <v>9791137602663</v>
      </c>
      <c r="AV659" t="str">
        <f t="shared" si="144"/>
        <v>판타지 웹소설 &gt; 퓨전 판타지</v>
      </c>
    </row>
    <row r="660" spans="1:49" x14ac:dyDescent="0.4">
      <c r="A660">
        <v>2313012849</v>
      </c>
      <c r="B660">
        <v>2313012920</v>
      </c>
      <c r="C660" t="str">
        <f>T("디버프 마스터 72화")</f>
        <v>디버프 마스터 72화</v>
      </c>
      <c r="D660" t="str">
        <f>T("72")</f>
        <v>72</v>
      </c>
      <c r="E660" t="str">
        <f t="shared" si="148"/>
        <v>담화공</v>
      </c>
      <c r="H660" t="str">
        <f t="shared" si="141"/>
        <v>스토리위즈</v>
      </c>
      <c r="I660" t="str">
        <f t="shared" si="149"/>
        <v>디버프 마스터</v>
      </c>
      <c r="J660">
        <v>100</v>
      </c>
      <c r="K660">
        <v>1500</v>
      </c>
      <c r="L660">
        <v>15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1500</v>
      </c>
      <c r="AH660">
        <v>15</v>
      </c>
      <c r="AI660">
        <v>0</v>
      </c>
      <c r="AJ660">
        <v>0</v>
      </c>
      <c r="AK660">
        <v>1400</v>
      </c>
      <c r="AL660">
        <v>0</v>
      </c>
      <c r="AM660">
        <v>119.05</v>
      </c>
      <c r="AN660">
        <v>-35.72</v>
      </c>
      <c r="AO660">
        <v>0</v>
      </c>
      <c r="AP660">
        <v>1038.33</v>
      </c>
      <c r="AT660" t="str">
        <f t="shared" si="150"/>
        <v>9791137602663</v>
      </c>
      <c r="AV660" t="str">
        <f t="shared" si="144"/>
        <v>판타지 웹소설 &gt; 퓨전 판타지</v>
      </c>
    </row>
    <row r="661" spans="1:49" x14ac:dyDescent="0.4">
      <c r="A661">
        <v>2313012849</v>
      </c>
      <c r="B661">
        <v>2313012921</v>
      </c>
      <c r="C661" t="str">
        <f>T("디버프 마스터 73화")</f>
        <v>디버프 마스터 73화</v>
      </c>
      <c r="D661" t="str">
        <f>T("73")</f>
        <v>73</v>
      </c>
      <c r="E661" t="str">
        <f t="shared" si="148"/>
        <v>담화공</v>
      </c>
      <c r="H661" t="str">
        <f t="shared" si="141"/>
        <v>스토리위즈</v>
      </c>
      <c r="I661" t="str">
        <f t="shared" si="149"/>
        <v>디버프 마스터</v>
      </c>
      <c r="J661">
        <v>100</v>
      </c>
      <c r="K661">
        <v>1500</v>
      </c>
      <c r="L661">
        <v>15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1500</v>
      </c>
      <c r="AH661">
        <v>15</v>
      </c>
      <c r="AI661">
        <v>0</v>
      </c>
      <c r="AJ661">
        <v>0</v>
      </c>
      <c r="AK661">
        <v>1400</v>
      </c>
      <c r="AL661">
        <v>0</v>
      </c>
      <c r="AM661">
        <v>119.05</v>
      </c>
      <c r="AN661">
        <v>-35.72</v>
      </c>
      <c r="AO661">
        <v>0</v>
      </c>
      <c r="AP661">
        <v>1038.33</v>
      </c>
      <c r="AT661" t="str">
        <f t="shared" si="150"/>
        <v>9791137602663</v>
      </c>
      <c r="AV661" t="str">
        <f t="shared" si="144"/>
        <v>판타지 웹소설 &gt; 퓨전 판타지</v>
      </c>
    </row>
    <row r="662" spans="1:49" x14ac:dyDescent="0.4">
      <c r="A662">
        <v>2313016897</v>
      </c>
      <c r="B662">
        <v>2313016866</v>
      </c>
      <c r="C662" t="str">
        <f>T("[e북]선택된 남자 (외전)")</f>
        <v>[e북]선택된 남자 (외전)</v>
      </c>
      <c r="D662" t="str">
        <f>T("3")</f>
        <v>3</v>
      </c>
      <c r="E662" t="str">
        <f>T("모리미")</f>
        <v>모리미</v>
      </c>
      <c r="H662" t="str">
        <f>T("도서출판 태랑")</f>
        <v>도서출판 태랑</v>
      </c>
      <c r="I662" t="str">
        <f>T("[e북]선택된 남자")</f>
        <v>[e북]선택된 남자</v>
      </c>
      <c r="J662">
        <v>300</v>
      </c>
      <c r="K662">
        <v>1500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1500</v>
      </c>
      <c r="AH662">
        <v>5</v>
      </c>
      <c r="AI662">
        <v>0</v>
      </c>
      <c r="AJ662">
        <v>0</v>
      </c>
      <c r="AK662">
        <v>1500</v>
      </c>
      <c r="AL662">
        <v>0</v>
      </c>
      <c r="AM662">
        <v>0</v>
      </c>
      <c r="AN662">
        <v>0</v>
      </c>
      <c r="AO662">
        <v>0</v>
      </c>
      <c r="AP662">
        <v>1050</v>
      </c>
      <c r="AT662" t="str">
        <f>T("9791164374366")</f>
        <v>9791164374366</v>
      </c>
      <c r="AV662" t="str">
        <f>T("BL 소설 e북 &gt; 현대물")</f>
        <v>BL 소설 e북 &gt; 현대물</v>
      </c>
    </row>
    <row r="663" spans="1:49" x14ac:dyDescent="0.4">
      <c r="A663">
        <v>2313017048</v>
      </c>
      <c r="B663">
        <v>2313017046</v>
      </c>
      <c r="C663" t="str">
        <f>T("[e북]사랑을 놓치고 (외전증보판) (외전)")</f>
        <v>[e북]사랑을 놓치고 (외전증보판) (외전)</v>
      </c>
      <c r="D663" t="str">
        <f>T("3")</f>
        <v>3</v>
      </c>
      <c r="E663" t="str">
        <f>T("차홍주")</f>
        <v>차홍주</v>
      </c>
      <c r="H663" t="str">
        <f>T("도서출판 태랑")</f>
        <v>도서출판 태랑</v>
      </c>
      <c r="I663" t="str">
        <f>T("[e북]사랑을 놓치고 (외전증보판)")</f>
        <v>[e북]사랑을 놓치고 (외전증보판)</v>
      </c>
      <c r="J663">
        <v>500</v>
      </c>
      <c r="K663">
        <v>1500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1500</v>
      </c>
      <c r="AH663">
        <v>3</v>
      </c>
      <c r="AI663">
        <v>0</v>
      </c>
      <c r="AJ663">
        <v>0</v>
      </c>
      <c r="AK663">
        <v>1500</v>
      </c>
      <c r="AL663">
        <v>0</v>
      </c>
      <c r="AM663">
        <v>0</v>
      </c>
      <c r="AN663">
        <v>0</v>
      </c>
      <c r="AO663">
        <v>0</v>
      </c>
      <c r="AP663">
        <v>1050</v>
      </c>
      <c r="AT663" t="str">
        <f>T("9791164370986")</f>
        <v>9791164370986</v>
      </c>
      <c r="AV663" t="str">
        <f>T("로맨스 e북 &gt; 현대물")</f>
        <v>로맨스 e북 &gt; 현대물</v>
      </c>
      <c r="AW663" t="str">
        <f>T("로맨스 e북 &gt; 19+")</f>
        <v>로맨스 e북 &gt; 19+</v>
      </c>
    </row>
    <row r="664" spans="1:49" x14ac:dyDescent="0.4">
      <c r="A664">
        <v>2313017657</v>
      </c>
      <c r="B664">
        <v>2313017682</v>
      </c>
      <c r="C664" t="str">
        <f>T("회귀자의 슬기로운 복수생활 26화")</f>
        <v>회귀자의 슬기로운 복수생활 26화</v>
      </c>
      <c r="D664" t="str">
        <f>T("26")</f>
        <v>26</v>
      </c>
      <c r="E664" t="str">
        <f t="shared" ref="E664:E669" si="151">T("구공")</f>
        <v>구공</v>
      </c>
      <c r="H664" t="str">
        <f t="shared" ref="H664:H669" si="152">T("스토리위즈")</f>
        <v>스토리위즈</v>
      </c>
      <c r="I664" t="str">
        <f t="shared" ref="I664:I669" si="153">T("회귀자의 슬기로운 복수생활")</f>
        <v>회귀자의 슬기로운 복수생활</v>
      </c>
      <c r="J664">
        <v>100</v>
      </c>
      <c r="K664">
        <v>1500</v>
      </c>
      <c r="L664">
        <v>15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1500</v>
      </c>
      <c r="AH664">
        <v>15</v>
      </c>
      <c r="AI664">
        <v>0</v>
      </c>
      <c r="AJ664">
        <v>0</v>
      </c>
      <c r="AK664">
        <v>1500</v>
      </c>
      <c r="AL664">
        <v>0</v>
      </c>
      <c r="AM664">
        <v>0</v>
      </c>
      <c r="AN664">
        <v>0</v>
      </c>
      <c r="AO664">
        <v>0</v>
      </c>
      <c r="AP664">
        <v>1050</v>
      </c>
      <c r="AT664" t="str">
        <f t="shared" ref="AT664:AT669" si="154">T("9791137601710")</f>
        <v>9791137601710</v>
      </c>
      <c r="AV664" t="str">
        <f t="shared" ref="AV664:AV669" si="155">T("판타지 웹소설 &gt; 퓨전 판타지")</f>
        <v>판타지 웹소설 &gt; 퓨전 판타지</v>
      </c>
    </row>
    <row r="665" spans="1:49" x14ac:dyDescent="0.4">
      <c r="A665">
        <v>2313017657</v>
      </c>
      <c r="B665">
        <v>2313017770</v>
      </c>
      <c r="C665" t="str">
        <f>T("회귀자의 슬기로운 복수생활 114화")</f>
        <v>회귀자의 슬기로운 복수생활 114화</v>
      </c>
      <c r="D665" t="str">
        <f>T("114")</f>
        <v>114</v>
      </c>
      <c r="E665" t="str">
        <f t="shared" si="151"/>
        <v>구공</v>
      </c>
      <c r="H665" t="str">
        <f t="shared" si="152"/>
        <v>스토리위즈</v>
      </c>
      <c r="I665" t="str">
        <f t="shared" si="153"/>
        <v>회귀자의 슬기로운 복수생활</v>
      </c>
      <c r="J665">
        <v>100</v>
      </c>
      <c r="K665">
        <v>1500</v>
      </c>
      <c r="L665">
        <v>15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1500</v>
      </c>
      <c r="AH665">
        <v>15</v>
      </c>
      <c r="AI665">
        <v>0</v>
      </c>
      <c r="AJ665">
        <v>0</v>
      </c>
      <c r="AK665">
        <v>1500</v>
      </c>
      <c r="AL665">
        <v>0</v>
      </c>
      <c r="AM665">
        <v>0</v>
      </c>
      <c r="AN665">
        <v>0</v>
      </c>
      <c r="AO665">
        <v>0</v>
      </c>
      <c r="AP665">
        <v>1050</v>
      </c>
      <c r="AT665" t="str">
        <f t="shared" si="154"/>
        <v>9791137601710</v>
      </c>
      <c r="AV665" t="str">
        <f t="shared" si="155"/>
        <v>판타지 웹소설 &gt; 퓨전 판타지</v>
      </c>
    </row>
    <row r="666" spans="1:49" x14ac:dyDescent="0.4">
      <c r="A666">
        <v>2313017657</v>
      </c>
      <c r="B666">
        <v>2313017771</v>
      </c>
      <c r="C666" t="str">
        <f>T("회귀자의 슬기로운 복수생활 115화")</f>
        <v>회귀자의 슬기로운 복수생활 115화</v>
      </c>
      <c r="D666" t="str">
        <f>T("115")</f>
        <v>115</v>
      </c>
      <c r="E666" t="str">
        <f t="shared" si="151"/>
        <v>구공</v>
      </c>
      <c r="H666" t="str">
        <f t="shared" si="152"/>
        <v>스토리위즈</v>
      </c>
      <c r="I666" t="str">
        <f t="shared" si="153"/>
        <v>회귀자의 슬기로운 복수생활</v>
      </c>
      <c r="J666">
        <v>100</v>
      </c>
      <c r="K666">
        <v>1500</v>
      </c>
      <c r="L666">
        <v>15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1500</v>
      </c>
      <c r="AH666">
        <v>15</v>
      </c>
      <c r="AI666">
        <v>0</v>
      </c>
      <c r="AJ666">
        <v>0</v>
      </c>
      <c r="AK666">
        <v>1500</v>
      </c>
      <c r="AL666">
        <v>0</v>
      </c>
      <c r="AM666">
        <v>0</v>
      </c>
      <c r="AN666">
        <v>0</v>
      </c>
      <c r="AO666">
        <v>0</v>
      </c>
      <c r="AP666">
        <v>1050</v>
      </c>
      <c r="AT666" t="str">
        <f t="shared" si="154"/>
        <v>9791137601710</v>
      </c>
      <c r="AV666" t="str">
        <f t="shared" si="155"/>
        <v>판타지 웹소설 &gt; 퓨전 판타지</v>
      </c>
    </row>
    <row r="667" spans="1:49" x14ac:dyDescent="0.4">
      <c r="A667">
        <v>2313017657</v>
      </c>
      <c r="B667">
        <v>2313017772</v>
      </c>
      <c r="C667" t="str">
        <f>T("회귀자의 슬기로운 복수생활 116화")</f>
        <v>회귀자의 슬기로운 복수생활 116화</v>
      </c>
      <c r="D667" t="str">
        <f>T("116")</f>
        <v>116</v>
      </c>
      <c r="E667" t="str">
        <f t="shared" si="151"/>
        <v>구공</v>
      </c>
      <c r="H667" t="str">
        <f t="shared" si="152"/>
        <v>스토리위즈</v>
      </c>
      <c r="I667" t="str">
        <f t="shared" si="153"/>
        <v>회귀자의 슬기로운 복수생활</v>
      </c>
      <c r="J667">
        <v>100</v>
      </c>
      <c r="K667">
        <v>1500</v>
      </c>
      <c r="L667">
        <v>15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1500</v>
      </c>
      <c r="AH667">
        <v>15</v>
      </c>
      <c r="AI667">
        <v>0</v>
      </c>
      <c r="AJ667">
        <v>0</v>
      </c>
      <c r="AK667">
        <v>1500</v>
      </c>
      <c r="AL667">
        <v>0</v>
      </c>
      <c r="AM667">
        <v>0</v>
      </c>
      <c r="AN667">
        <v>0</v>
      </c>
      <c r="AO667">
        <v>0</v>
      </c>
      <c r="AP667">
        <v>1050</v>
      </c>
      <c r="AT667" t="str">
        <f t="shared" si="154"/>
        <v>9791137601710</v>
      </c>
      <c r="AV667" t="str">
        <f t="shared" si="155"/>
        <v>판타지 웹소설 &gt; 퓨전 판타지</v>
      </c>
    </row>
    <row r="668" spans="1:49" x14ac:dyDescent="0.4">
      <c r="A668">
        <v>2313017657</v>
      </c>
      <c r="B668">
        <v>2313017773</v>
      </c>
      <c r="C668" t="str">
        <f>T("회귀자의 슬기로운 복수생활 117화")</f>
        <v>회귀자의 슬기로운 복수생활 117화</v>
      </c>
      <c r="D668" t="str">
        <f>T("117")</f>
        <v>117</v>
      </c>
      <c r="E668" t="str">
        <f t="shared" si="151"/>
        <v>구공</v>
      </c>
      <c r="H668" t="str">
        <f t="shared" si="152"/>
        <v>스토리위즈</v>
      </c>
      <c r="I668" t="str">
        <f t="shared" si="153"/>
        <v>회귀자의 슬기로운 복수생활</v>
      </c>
      <c r="J668">
        <v>100</v>
      </c>
      <c r="K668">
        <v>1500</v>
      </c>
      <c r="L668">
        <v>15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1500</v>
      </c>
      <c r="AH668">
        <v>15</v>
      </c>
      <c r="AI668">
        <v>0</v>
      </c>
      <c r="AJ668">
        <v>0</v>
      </c>
      <c r="AK668">
        <v>1500</v>
      </c>
      <c r="AL668">
        <v>0</v>
      </c>
      <c r="AM668">
        <v>0</v>
      </c>
      <c r="AN668">
        <v>0</v>
      </c>
      <c r="AO668">
        <v>0</v>
      </c>
      <c r="AP668">
        <v>1050</v>
      </c>
      <c r="AT668" t="str">
        <f t="shared" si="154"/>
        <v>9791137601710</v>
      </c>
      <c r="AV668" t="str">
        <f t="shared" si="155"/>
        <v>판타지 웹소설 &gt; 퓨전 판타지</v>
      </c>
    </row>
    <row r="669" spans="1:49" x14ac:dyDescent="0.4">
      <c r="A669">
        <v>2313017657</v>
      </c>
      <c r="B669">
        <v>2313017855</v>
      </c>
      <c r="C669" t="str">
        <f>T("회귀자의 슬기로운 복수생활 199화")</f>
        <v>회귀자의 슬기로운 복수생활 199화</v>
      </c>
      <c r="D669" t="str">
        <f>T("199")</f>
        <v>199</v>
      </c>
      <c r="E669" t="str">
        <f t="shared" si="151"/>
        <v>구공</v>
      </c>
      <c r="H669" t="str">
        <f t="shared" si="152"/>
        <v>스토리위즈</v>
      </c>
      <c r="I669" t="str">
        <f t="shared" si="153"/>
        <v>회귀자의 슬기로운 복수생활</v>
      </c>
      <c r="J669">
        <v>100</v>
      </c>
      <c r="K669">
        <v>1500</v>
      </c>
      <c r="L669">
        <v>15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1500</v>
      </c>
      <c r="AH669">
        <v>15</v>
      </c>
      <c r="AI669">
        <v>0</v>
      </c>
      <c r="AJ669">
        <v>0</v>
      </c>
      <c r="AK669">
        <v>1500</v>
      </c>
      <c r="AL669">
        <v>0</v>
      </c>
      <c r="AM669">
        <v>0</v>
      </c>
      <c r="AN669">
        <v>0</v>
      </c>
      <c r="AO669">
        <v>0</v>
      </c>
      <c r="AP669">
        <v>1050</v>
      </c>
      <c r="AT669" t="str">
        <f t="shared" si="154"/>
        <v>9791137601710</v>
      </c>
      <c r="AV669" t="str">
        <f t="shared" si="155"/>
        <v>판타지 웹소설 &gt; 퓨전 판타지</v>
      </c>
    </row>
    <row r="670" spans="1:49" x14ac:dyDescent="0.4">
      <c r="A670">
        <v>2313016862</v>
      </c>
      <c r="B670">
        <v>2313016860</v>
      </c>
      <c r="C670" t="str">
        <f>T("[e북]베리타(verità) (외전증보판) (외전)")</f>
        <v>[e북]베리타(verità) (외전증보판) (외전)</v>
      </c>
      <c r="D670" t="str">
        <f>T("3")</f>
        <v>3</v>
      </c>
      <c r="E670" t="str">
        <f>T("블랙커피")</f>
        <v>블랙커피</v>
      </c>
      <c r="H670" t="str">
        <f>T("도서출판 태랑")</f>
        <v>도서출판 태랑</v>
      </c>
      <c r="I670" t="str">
        <f>T("[e북]베리타(verità) (외전증보판)")</f>
        <v>[e북]베리타(verità) (외전증보판)</v>
      </c>
      <c r="J670">
        <v>400</v>
      </c>
      <c r="K670">
        <v>1480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1480</v>
      </c>
      <c r="AH670">
        <v>4</v>
      </c>
      <c r="AI670">
        <v>0</v>
      </c>
      <c r="AJ670">
        <v>0</v>
      </c>
      <c r="AK670">
        <v>1120</v>
      </c>
      <c r="AL670">
        <v>0</v>
      </c>
      <c r="AM670">
        <v>432</v>
      </c>
      <c r="AN670">
        <v>-129.6</v>
      </c>
      <c r="AO670">
        <v>0</v>
      </c>
      <c r="AP670">
        <v>995.68</v>
      </c>
      <c r="AT670" t="str">
        <f>T("9791164374441")</f>
        <v>9791164374441</v>
      </c>
      <c r="AV670" t="str">
        <f>T("로맨스 e북 &gt; 현대물")</f>
        <v>로맨스 e북 &gt; 현대물</v>
      </c>
      <c r="AW670" t="str">
        <f>T("로맨스 e북 &gt; 19+")</f>
        <v>로맨스 e북 &gt; 19+</v>
      </c>
    </row>
    <row r="671" spans="1:49" x14ac:dyDescent="0.4">
      <c r="A671">
        <v>2313007845</v>
      </c>
      <c r="B671">
        <v>2313007946</v>
      </c>
      <c r="C671" t="str">
        <f>T("간신이 나라를 살림 102화")</f>
        <v>간신이 나라를 살림 102화</v>
      </c>
      <c r="D671" t="str">
        <f>T("102")</f>
        <v>102</v>
      </c>
      <c r="E671" t="str">
        <f t="shared" ref="E671:E694" si="156">T("루이세")</f>
        <v>루이세</v>
      </c>
      <c r="H671" t="str">
        <f t="shared" ref="H671:H734" si="157">T("스토리위즈")</f>
        <v>스토리위즈</v>
      </c>
      <c r="I671" t="str">
        <f t="shared" ref="I671:I694" si="158">T("간신이 나라를 살림")</f>
        <v>간신이 나라를 살림</v>
      </c>
      <c r="J671">
        <v>100</v>
      </c>
      <c r="K671">
        <v>1400</v>
      </c>
      <c r="L671">
        <v>14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1400</v>
      </c>
      <c r="AH671">
        <v>14</v>
      </c>
      <c r="AI671">
        <v>0</v>
      </c>
      <c r="AJ671">
        <v>0</v>
      </c>
      <c r="AK671">
        <v>1400</v>
      </c>
      <c r="AL671">
        <v>0</v>
      </c>
      <c r="AM671">
        <v>0</v>
      </c>
      <c r="AN671">
        <v>0</v>
      </c>
      <c r="AO671">
        <v>0</v>
      </c>
      <c r="AP671">
        <v>980</v>
      </c>
      <c r="AT671" t="str">
        <f t="shared" ref="AT671:AT694" si="159">T("9791159284663")</f>
        <v>9791159284663</v>
      </c>
      <c r="AV671" t="str">
        <f t="shared" ref="AV671:AV734" si="160">T("판타지 웹소설 &gt; 퓨전 판타지")</f>
        <v>판타지 웹소설 &gt; 퓨전 판타지</v>
      </c>
    </row>
    <row r="672" spans="1:49" x14ac:dyDescent="0.4">
      <c r="A672">
        <v>2313007845</v>
      </c>
      <c r="B672">
        <v>2313007952</v>
      </c>
      <c r="C672" t="str">
        <f>T("간신이 나라를 살림 108화")</f>
        <v>간신이 나라를 살림 108화</v>
      </c>
      <c r="D672" t="str">
        <f>T("108")</f>
        <v>108</v>
      </c>
      <c r="E672" t="str">
        <f t="shared" si="156"/>
        <v>루이세</v>
      </c>
      <c r="H672" t="str">
        <f t="shared" si="157"/>
        <v>스토리위즈</v>
      </c>
      <c r="I672" t="str">
        <f t="shared" si="158"/>
        <v>간신이 나라를 살림</v>
      </c>
      <c r="J672">
        <v>100</v>
      </c>
      <c r="K672">
        <v>1400</v>
      </c>
      <c r="L672">
        <v>14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1400</v>
      </c>
      <c r="AH672">
        <v>14</v>
      </c>
      <c r="AI672">
        <v>0</v>
      </c>
      <c r="AJ672">
        <v>0</v>
      </c>
      <c r="AK672">
        <v>1400</v>
      </c>
      <c r="AL672">
        <v>0</v>
      </c>
      <c r="AM672">
        <v>0</v>
      </c>
      <c r="AN672">
        <v>0</v>
      </c>
      <c r="AO672">
        <v>0</v>
      </c>
      <c r="AP672">
        <v>980</v>
      </c>
      <c r="AT672" t="str">
        <f t="shared" si="159"/>
        <v>9791159284663</v>
      </c>
      <c r="AV672" t="str">
        <f t="shared" si="160"/>
        <v>판타지 웹소설 &gt; 퓨전 판타지</v>
      </c>
    </row>
    <row r="673" spans="1:48" x14ac:dyDescent="0.4">
      <c r="A673">
        <v>2313007845</v>
      </c>
      <c r="B673">
        <v>2313007953</v>
      </c>
      <c r="C673" t="str">
        <f>T("간신이 나라를 살림 109화")</f>
        <v>간신이 나라를 살림 109화</v>
      </c>
      <c r="D673" t="str">
        <f>T("109")</f>
        <v>109</v>
      </c>
      <c r="E673" t="str">
        <f t="shared" si="156"/>
        <v>루이세</v>
      </c>
      <c r="H673" t="str">
        <f t="shared" si="157"/>
        <v>스토리위즈</v>
      </c>
      <c r="I673" t="str">
        <f t="shared" si="158"/>
        <v>간신이 나라를 살림</v>
      </c>
      <c r="J673">
        <v>100</v>
      </c>
      <c r="K673">
        <v>1400</v>
      </c>
      <c r="L673">
        <v>14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1400</v>
      </c>
      <c r="AH673">
        <v>14</v>
      </c>
      <c r="AI673">
        <v>0</v>
      </c>
      <c r="AJ673">
        <v>0</v>
      </c>
      <c r="AK673">
        <v>1400</v>
      </c>
      <c r="AL673">
        <v>0</v>
      </c>
      <c r="AM673">
        <v>0</v>
      </c>
      <c r="AN673">
        <v>0</v>
      </c>
      <c r="AO673">
        <v>0</v>
      </c>
      <c r="AP673">
        <v>980</v>
      </c>
      <c r="AT673" t="str">
        <f t="shared" si="159"/>
        <v>9791159284663</v>
      </c>
      <c r="AV673" t="str">
        <f t="shared" si="160"/>
        <v>판타지 웹소설 &gt; 퓨전 판타지</v>
      </c>
    </row>
    <row r="674" spans="1:48" x14ac:dyDescent="0.4">
      <c r="A674">
        <v>2313007845</v>
      </c>
      <c r="B674">
        <v>2313007954</v>
      </c>
      <c r="C674" t="str">
        <f>T("간신이 나라를 살림 110화")</f>
        <v>간신이 나라를 살림 110화</v>
      </c>
      <c r="D674" t="str">
        <f>T("110")</f>
        <v>110</v>
      </c>
      <c r="E674" t="str">
        <f t="shared" si="156"/>
        <v>루이세</v>
      </c>
      <c r="H674" t="str">
        <f t="shared" si="157"/>
        <v>스토리위즈</v>
      </c>
      <c r="I674" t="str">
        <f t="shared" si="158"/>
        <v>간신이 나라를 살림</v>
      </c>
      <c r="J674">
        <v>100</v>
      </c>
      <c r="K674">
        <v>1400</v>
      </c>
      <c r="L674">
        <v>14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1400</v>
      </c>
      <c r="AH674">
        <v>14</v>
      </c>
      <c r="AI674">
        <v>0</v>
      </c>
      <c r="AJ674">
        <v>0</v>
      </c>
      <c r="AK674">
        <v>1400</v>
      </c>
      <c r="AL674">
        <v>0</v>
      </c>
      <c r="AM674">
        <v>0</v>
      </c>
      <c r="AN674">
        <v>0</v>
      </c>
      <c r="AO674">
        <v>0</v>
      </c>
      <c r="AP674">
        <v>980</v>
      </c>
      <c r="AT674" t="str">
        <f t="shared" si="159"/>
        <v>9791159284663</v>
      </c>
      <c r="AV674" t="str">
        <f t="shared" si="160"/>
        <v>판타지 웹소설 &gt; 퓨전 판타지</v>
      </c>
    </row>
    <row r="675" spans="1:48" x14ac:dyDescent="0.4">
      <c r="A675">
        <v>2313007845</v>
      </c>
      <c r="B675">
        <v>2313007955</v>
      </c>
      <c r="C675" t="str">
        <f>T("간신이 나라를 살림 111화")</f>
        <v>간신이 나라를 살림 111화</v>
      </c>
      <c r="D675" t="str">
        <f>T("111")</f>
        <v>111</v>
      </c>
      <c r="E675" t="str">
        <f t="shared" si="156"/>
        <v>루이세</v>
      </c>
      <c r="H675" t="str">
        <f t="shared" si="157"/>
        <v>스토리위즈</v>
      </c>
      <c r="I675" t="str">
        <f t="shared" si="158"/>
        <v>간신이 나라를 살림</v>
      </c>
      <c r="J675">
        <v>100</v>
      </c>
      <c r="K675">
        <v>1400</v>
      </c>
      <c r="L675">
        <v>14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1400</v>
      </c>
      <c r="AH675">
        <v>14</v>
      </c>
      <c r="AI675">
        <v>0</v>
      </c>
      <c r="AJ675">
        <v>0</v>
      </c>
      <c r="AK675">
        <v>1400</v>
      </c>
      <c r="AL675">
        <v>0</v>
      </c>
      <c r="AM675">
        <v>0</v>
      </c>
      <c r="AN675">
        <v>0</v>
      </c>
      <c r="AO675">
        <v>0</v>
      </c>
      <c r="AP675">
        <v>980</v>
      </c>
      <c r="AT675" t="str">
        <f t="shared" si="159"/>
        <v>9791159284663</v>
      </c>
      <c r="AV675" t="str">
        <f t="shared" si="160"/>
        <v>판타지 웹소설 &gt; 퓨전 판타지</v>
      </c>
    </row>
    <row r="676" spans="1:48" x14ac:dyDescent="0.4">
      <c r="A676">
        <v>2313007845</v>
      </c>
      <c r="B676">
        <v>2313007956</v>
      </c>
      <c r="C676" t="str">
        <f>T("간신이 나라를 살림 112화")</f>
        <v>간신이 나라를 살림 112화</v>
      </c>
      <c r="D676" t="str">
        <f>T("112")</f>
        <v>112</v>
      </c>
      <c r="E676" t="str">
        <f t="shared" si="156"/>
        <v>루이세</v>
      </c>
      <c r="H676" t="str">
        <f t="shared" si="157"/>
        <v>스토리위즈</v>
      </c>
      <c r="I676" t="str">
        <f t="shared" si="158"/>
        <v>간신이 나라를 살림</v>
      </c>
      <c r="J676">
        <v>100</v>
      </c>
      <c r="K676">
        <v>1400</v>
      </c>
      <c r="L676">
        <v>14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1400</v>
      </c>
      <c r="AH676">
        <v>14</v>
      </c>
      <c r="AI676">
        <v>0</v>
      </c>
      <c r="AJ676">
        <v>0</v>
      </c>
      <c r="AK676">
        <v>1400</v>
      </c>
      <c r="AL676">
        <v>0</v>
      </c>
      <c r="AM676">
        <v>0</v>
      </c>
      <c r="AN676">
        <v>0</v>
      </c>
      <c r="AO676">
        <v>0</v>
      </c>
      <c r="AP676">
        <v>980</v>
      </c>
      <c r="AT676" t="str">
        <f t="shared" si="159"/>
        <v>9791159284663</v>
      </c>
      <c r="AV676" t="str">
        <f t="shared" si="160"/>
        <v>판타지 웹소설 &gt; 퓨전 판타지</v>
      </c>
    </row>
    <row r="677" spans="1:48" x14ac:dyDescent="0.4">
      <c r="A677">
        <v>2313007845</v>
      </c>
      <c r="B677">
        <v>2313007957</v>
      </c>
      <c r="C677" t="str">
        <f>T("간신이 나라를 살림 113화")</f>
        <v>간신이 나라를 살림 113화</v>
      </c>
      <c r="D677" t="str">
        <f>T("113")</f>
        <v>113</v>
      </c>
      <c r="E677" t="str">
        <f t="shared" si="156"/>
        <v>루이세</v>
      </c>
      <c r="H677" t="str">
        <f t="shared" si="157"/>
        <v>스토리위즈</v>
      </c>
      <c r="I677" t="str">
        <f t="shared" si="158"/>
        <v>간신이 나라를 살림</v>
      </c>
      <c r="J677">
        <v>100</v>
      </c>
      <c r="K677">
        <v>1400</v>
      </c>
      <c r="L677">
        <v>14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1400</v>
      </c>
      <c r="AH677">
        <v>14</v>
      </c>
      <c r="AI677">
        <v>0</v>
      </c>
      <c r="AJ677">
        <v>0</v>
      </c>
      <c r="AK677">
        <v>1400</v>
      </c>
      <c r="AL677">
        <v>0</v>
      </c>
      <c r="AM677">
        <v>0</v>
      </c>
      <c r="AN677">
        <v>0</v>
      </c>
      <c r="AO677">
        <v>0</v>
      </c>
      <c r="AP677">
        <v>980</v>
      </c>
      <c r="AT677" t="str">
        <f t="shared" si="159"/>
        <v>9791159284663</v>
      </c>
      <c r="AV677" t="str">
        <f t="shared" si="160"/>
        <v>판타지 웹소설 &gt; 퓨전 판타지</v>
      </c>
    </row>
    <row r="678" spans="1:48" x14ac:dyDescent="0.4">
      <c r="A678">
        <v>2313007845</v>
      </c>
      <c r="B678">
        <v>2313007959</v>
      </c>
      <c r="C678" t="str">
        <f>T("간신이 나라를 살림 115화")</f>
        <v>간신이 나라를 살림 115화</v>
      </c>
      <c r="D678" t="str">
        <f>T("115")</f>
        <v>115</v>
      </c>
      <c r="E678" t="str">
        <f t="shared" si="156"/>
        <v>루이세</v>
      </c>
      <c r="H678" t="str">
        <f t="shared" si="157"/>
        <v>스토리위즈</v>
      </c>
      <c r="I678" t="str">
        <f t="shared" si="158"/>
        <v>간신이 나라를 살림</v>
      </c>
      <c r="J678">
        <v>100</v>
      </c>
      <c r="K678">
        <v>1400</v>
      </c>
      <c r="L678">
        <v>14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1400</v>
      </c>
      <c r="AH678">
        <v>14</v>
      </c>
      <c r="AI678">
        <v>0</v>
      </c>
      <c r="AJ678">
        <v>0</v>
      </c>
      <c r="AK678">
        <v>1400</v>
      </c>
      <c r="AL678">
        <v>0</v>
      </c>
      <c r="AM678">
        <v>0</v>
      </c>
      <c r="AN678">
        <v>0</v>
      </c>
      <c r="AO678">
        <v>0</v>
      </c>
      <c r="AP678">
        <v>980</v>
      </c>
      <c r="AT678" t="str">
        <f t="shared" si="159"/>
        <v>9791159284663</v>
      </c>
      <c r="AV678" t="str">
        <f t="shared" si="160"/>
        <v>판타지 웹소설 &gt; 퓨전 판타지</v>
      </c>
    </row>
    <row r="679" spans="1:48" x14ac:dyDescent="0.4">
      <c r="A679">
        <v>2313007845</v>
      </c>
      <c r="B679">
        <v>2313007960</v>
      </c>
      <c r="C679" t="str">
        <f>T("간신이 나라를 살림 116화")</f>
        <v>간신이 나라를 살림 116화</v>
      </c>
      <c r="D679" t="str">
        <f>T("116")</f>
        <v>116</v>
      </c>
      <c r="E679" t="str">
        <f t="shared" si="156"/>
        <v>루이세</v>
      </c>
      <c r="H679" t="str">
        <f t="shared" si="157"/>
        <v>스토리위즈</v>
      </c>
      <c r="I679" t="str">
        <f t="shared" si="158"/>
        <v>간신이 나라를 살림</v>
      </c>
      <c r="J679">
        <v>100</v>
      </c>
      <c r="K679">
        <v>1400</v>
      </c>
      <c r="L679">
        <v>14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1400</v>
      </c>
      <c r="AH679">
        <v>14</v>
      </c>
      <c r="AI679">
        <v>0</v>
      </c>
      <c r="AJ679">
        <v>0</v>
      </c>
      <c r="AK679">
        <v>1400</v>
      </c>
      <c r="AL679">
        <v>0</v>
      </c>
      <c r="AM679">
        <v>0</v>
      </c>
      <c r="AN679">
        <v>0</v>
      </c>
      <c r="AO679">
        <v>0</v>
      </c>
      <c r="AP679">
        <v>980</v>
      </c>
      <c r="AT679" t="str">
        <f t="shared" si="159"/>
        <v>9791159284663</v>
      </c>
      <c r="AV679" t="str">
        <f t="shared" si="160"/>
        <v>판타지 웹소설 &gt; 퓨전 판타지</v>
      </c>
    </row>
    <row r="680" spans="1:48" x14ac:dyDescent="0.4">
      <c r="A680">
        <v>2313007845</v>
      </c>
      <c r="B680">
        <v>2313007962</v>
      </c>
      <c r="C680" t="str">
        <f>T("간신이 나라를 살림 118화")</f>
        <v>간신이 나라를 살림 118화</v>
      </c>
      <c r="D680" t="str">
        <f>T("118")</f>
        <v>118</v>
      </c>
      <c r="E680" t="str">
        <f t="shared" si="156"/>
        <v>루이세</v>
      </c>
      <c r="H680" t="str">
        <f t="shared" si="157"/>
        <v>스토리위즈</v>
      </c>
      <c r="I680" t="str">
        <f t="shared" si="158"/>
        <v>간신이 나라를 살림</v>
      </c>
      <c r="J680">
        <v>100</v>
      </c>
      <c r="K680">
        <v>1400</v>
      </c>
      <c r="L680">
        <v>14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1400</v>
      </c>
      <c r="AH680">
        <v>14</v>
      </c>
      <c r="AI680">
        <v>0</v>
      </c>
      <c r="AJ680">
        <v>0</v>
      </c>
      <c r="AK680">
        <v>1400</v>
      </c>
      <c r="AL680">
        <v>0</v>
      </c>
      <c r="AM680">
        <v>0</v>
      </c>
      <c r="AN680">
        <v>0</v>
      </c>
      <c r="AO680">
        <v>0</v>
      </c>
      <c r="AP680">
        <v>980</v>
      </c>
      <c r="AT680" t="str">
        <f t="shared" si="159"/>
        <v>9791159284663</v>
      </c>
      <c r="AV680" t="str">
        <f t="shared" si="160"/>
        <v>판타지 웹소설 &gt; 퓨전 판타지</v>
      </c>
    </row>
    <row r="681" spans="1:48" x14ac:dyDescent="0.4">
      <c r="A681">
        <v>2313007845</v>
      </c>
      <c r="B681">
        <v>2313007963</v>
      </c>
      <c r="C681" t="str">
        <f>T("간신이 나라를 살림 119화")</f>
        <v>간신이 나라를 살림 119화</v>
      </c>
      <c r="D681" t="str">
        <f>T("119")</f>
        <v>119</v>
      </c>
      <c r="E681" t="str">
        <f t="shared" si="156"/>
        <v>루이세</v>
      </c>
      <c r="H681" t="str">
        <f t="shared" si="157"/>
        <v>스토리위즈</v>
      </c>
      <c r="I681" t="str">
        <f t="shared" si="158"/>
        <v>간신이 나라를 살림</v>
      </c>
      <c r="J681">
        <v>100</v>
      </c>
      <c r="K681">
        <v>1400</v>
      </c>
      <c r="L681">
        <v>14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1400</v>
      </c>
      <c r="AH681">
        <v>14</v>
      </c>
      <c r="AI681">
        <v>0</v>
      </c>
      <c r="AJ681">
        <v>0</v>
      </c>
      <c r="AK681">
        <v>1400</v>
      </c>
      <c r="AL681">
        <v>0</v>
      </c>
      <c r="AM681">
        <v>0</v>
      </c>
      <c r="AN681">
        <v>0</v>
      </c>
      <c r="AO681">
        <v>0</v>
      </c>
      <c r="AP681">
        <v>980</v>
      </c>
      <c r="AT681" t="str">
        <f t="shared" si="159"/>
        <v>9791159284663</v>
      </c>
      <c r="AV681" t="str">
        <f t="shared" si="160"/>
        <v>판타지 웹소설 &gt; 퓨전 판타지</v>
      </c>
    </row>
    <row r="682" spans="1:48" x14ac:dyDescent="0.4">
      <c r="A682">
        <v>2313007845</v>
      </c>
      <c r="B682">
        <v>2313007964</v>
      </c>
      <c r="C682" t="str">
        <f>T("간신이 나라를 살림 120화")</f>
        <v>간신이 나라를 살림 120화</v>
      </c>
      <c r="D682" t="str">
        <f>T("120")</f>
        <v>120</v>
      </c>
      <c r="E682" t="str">
        <f t="shared" si="156"/>
        <v>루이세</v>
      </c>
      <c r="H682" t="str">
        <f t="shared" si="157"/>
        <v>스토리위즈</v>
      </c>
      <c r="I682" t="str">
        <f t="shared" si="158"/>
        <v>간신이 나라를 살림</v>
      </c>
      <c r="J682">
        <v>100</v>
      </c>
      <c r="K682">
        <v>1400</v>
      </c>
      <c r="L682">
        <v>14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1400</v>
      </c>
      <c r="AH682">
        <v>14</v>
      </c>
      <c r="AI682">
        <v>0</v>
      </c>
      <c r="AJ682">
        <v>0</v>
      </c>
      <c r="AK682">
        <v>1400</v>
      </c>
      <c r="AL682">
        <v>0</v>
      </c>
      <c r="AM682">
        <v>0</v>
      </c>
      <c r="AN682">
        <v>0</v>
      </c>
      <c r="AO682">
        <v>0</v>
      </c>
      <c r="AP682">
        <v>980</v>
      </c>
      <c r="AT682" t="str">
        <f t="shared" si="159"/>
        <v>9791159284663</v>
      </c>
      <c r="AV682" t="str">
        <f t="shared" si="160"/>
        <v>판타지 웹소설 &gt; 퓨전 판타지</v>
      </c>
    </row>
    <row r="683" spans="1:48" x14ac:dyDescent="0.4">
      <c r="A683">
        <v>2313007845</v>
      </c>
      <c r="B683">
        <v>2313007965</v>
      </c>
      <c r="C683" t="str">
        <f>T("간신이 나라를 살림 121화")</f>
        <v>간신이 나라를 살림 121화</v>
      </c>
      <c r="D683" t="str">
        <f>T("121")</f>
        <v>121</v>
      </c>
      <c r="E683" t="str">
        <f t="shared" si="156"/>
        <v>루이세</v>
      </c>
      <c r="H683" t="str">
        <f t="shared" si="157"/>
        <v>스토리위즈</v>
      </c>
      <c r="I683" t="str">
        <f t="shared" si="158"/>
        <v>간신이 나라를 살림</v>
      </c>
      <c r="J683">
        <v>100</v>
      </c>
      <c r="K683">
        <v>1400</v>
      </c>
      <c r="L683">
        <v>14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1400</v>
      </c>
      <c r="AH683">
        <v>14</v>
      </c>
      <c r="AI683">
        <v>0</v>
      </c>
      <c r="AJ683">
        <v>0</v>
      </c>
      <c r="AK683">
        <v>1400</v>
      </c>
      <c r="AL683">
        <v>0</v>
      </c>
      <c r="AM683">
        <v>0</v>
      </c>
      <c r="AN683">
        <v>0</v>
      </c>
      <c r="AO683">
        <v>0</v>
      </c>
      <c r="AP683">
        <v>980</v>
      </c>
      <c r="AT683" t="str">
        <f t="shared" si="159"/>
        <v>9791159284663</v>
      </c>
      <c r="AV683" t="str">
        <f t="shared" si="160"/>
        <v>판타지 웹소설 &gt; 퓨전 판타지</v>
      </c>
    </row>
    <row r="684" spans="1:48" x14ac:dyDescent="0.4">
      <c r="A684">
        <v>2313007845</v>
      </c>
      <c r="B684">
        <v>2313007966</v>
      </c>
      <c r="C684" t="str">
        <f>T("간신이 나라를 살림 122화")</f>
        <v>간신이 나라를 살림 122화</v>
      </c>
      <c r="D684" t="str">
        <f>T("122")</f>
        <v>122</v>
      </c>
      <c r="E684" t="str">
        <f t="shared" si="156"/>
        <v>루이세</v>
      </c>
      <c r="H684" t="str">
        <f t="shared" si="157"/>
        <v>스토리위즈</v>
      </c>
      <c r="I684" t="str">
        <f t="shared" si="158"/>
        <v>간신이 나라를 살림</v>
      </c>
      <c r="J684">
        <v>100</v>
      </c>
      <c r="K684">
        <v>1400</v>
      </c>
      <c r="L684">
        <v>14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1400</v>
      </c>
      <c r="AH684">
        <v>14</v>
      </c>
      <c r="AI684">
        <v>0</v>
      </c>
      <c r="AJ684">
        <v>0</v>
      </c>
      <c r="AK684">
        <v>1400</v>
      </c>
      <c r="AL684">
        <v>0</v>
      </c>
      <c r="AM684">
        <v>0</v>
      </c>
      <c r="AN684">
        <v>0</v>
      </c>
      <c r="AO684">
        <v>0</v>
      </c>
      <c r="AP684">
        <v>980</v>
      </c>
      <c r="AT684" t="str">
        <f t="shared" si="159"/>
        <v>9791159284663</v>
      </c>
      <c r="AV684" t="str">
        <f t="shared" si="160"/>
        <v>판타지 웹소설 &gt; 퓨전 판타지</v>
      </c>
    </row>
    <row r="685" spans="1:48" x14ac:dyDescent="0.4">
      <c r="A685">
        <v>2313007845</v>
      </c>
      <c r="B685">
        <v>2313007967</v>
      </c>
      <c r="C685" t="str">
        <f>T("간신이 나라를 살림 123화")</f>
        <v>간신이 나라를 살림 123화</v>
      </c>
      <c r="D685" t="str">
        <f>T("123")</f>
        <v>123</v>
      </c>
      <c r="E685" t="str">
        <f t="shared" si="156"/>
        <v>루이세</v>
      </c>
      <c r="H685" t="str">
        <f t="shared" si="157"/>
        <v>스토리위즈</v>
      </c>
      <c r="I685" t="str">
        <f t="shared" si="158"/>
        <v>간신이 나라를 살림</v>
      </c>
      <c r="J685">
        <v>100</v>
      </c>
      <c r="K685">
        <v>1400</v>
      </c>
      <c r="L685">
        <v>14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1400</v>
      </c>
      <c r="AH685">
        <v>14</v>
      </c>
      <c r="AI685">
        <v>0</v>
      </c>
      <c r="AJ685">
        <v>0</v>
      </c>
      <c r="AK685">
        <v>1400</v>
      </c>
      <c r="AL685">
        <v>0</v>
      </c>
      <c r="AM685">
        <v>0</v>
      </c>
      <c r="AN685">
        <v>0</v>
      </c>
      <c r="AO685">
        <v>0</v>
      </c>
      <c r="AP685">
        <v>980</v>
      </c>
      <c r="AT685" t="str">
        <f t="shared" si="159"/>
        <v>9791159284663</v>
      </c>
      <c r="AV685" t="str">
        <f t="shared" si="160"/>
        <v>판타지 웹소설 &gt; 퓨전 판타지</v>
      </c>
    </row>
    <row r="686" spans="1:48" x14ac:dyDescent="0.4">
      <c r="A686">
        <v>2313007845</v>
      </c>
      <c r="B686">
        <v>2313007968</v>
      </c>
      <c r="C686" t="str">
        <f>T("간신이 나라를 살림 124화")</f>
        <v>간신이 나라를 살림 124화</v>
      </c>
      <c r="D686" t="str">
        <f>T("124")</f>
        <v>124</v>
      </c>
      <c r="E686" t="str">
        <f t="shared" si="156"/>
        <v>루이세</v>
      </c>
      <c r="H686" t="str">
        <f t="shared" si="157"/>
        <v>스토리위즈</v>
      </c>
      <c r="I686" t="str">
        <f t="shared" si="158"/>
        <v>간신이 나라를 살림</v>
      </c>
      <c r="J686">
        <v>100</v>
      </c>
      <c r="K686">
        <v>1400</v>
      </c>
      <c r="L686">
        <v>14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1400</v>
      </c>
      <c r="AH686">
        <v>14</v>
      </c>
      <c r="AI686">
        <v>0</v>
      </c>
      <c r="AJ686">
        <v>0</v>
      </c>
      <c r="AK686">
        <v>1400</v>
      </c>
      <c r="AL686">
        <v>0</v>
      </c>
      <c r="AM686">
        <v>0</v>
      </c>
      <c r="AN686">
        <v>0</v>
      </c>
      <c r="AO686">
        <v>0</v>
      </c>
      <c r="AP686">
        <v>980</v>
      </c>
      <c r="AT686" t="str">
        <f t="shared" si="159"/>
        <v>9791159284663</v>
      </c>
      <c r="AV686" t="str">
        <f t="shared" si="160"/>
        <v>판타지 웹소설 &gt; 퓨전 판타지</v>
      </c>
    </row>
    <row r="687" spans="1:48" x14ac:dyDescent="0.4">
      <c r="A687">
        <v>2313007845</v>
      </c>
      <c r="B687">
        <v>2313007970</v>
      </c>
      <c r="C687" t="str">
        <f>T("간신이 나라를 살림 126화")</f>
        <v>간신이 나라를 살림 126화</v>
      </c>
      <c r="D687" t="str">
        <f>T("126")</f>
        <v>126</v>
      </c>
      <c r="E687" t="str">
        <f t="shared" si="156"/>
        <v>루이세</v>
      </c>
      <c r="H687" t="str">
        <f t="shared" si="157"/>
        <v>스토리위즈</v>
      </c>
      <c r="I687" t="str">
        <f t="shared" si="158"/>
        <v>간신이 나라를 살림</v>
      </c>
      <c r="J687">
        <v>100</v>
      </c>
      <c r="K687">
        <v>1400</v>
      </c>
      <c r="L687">
        <v>14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1400</v>
      </c>
      <c r="AH687">
        <v>14</v>
      </c>
      <c r="AI687">
        <v>0</v>
      </c>
      <c r="AJ687">
        <v>0</v>
      </c>
      <c r="AK687">
        <v>1400</v>
      </c>
      <c r="AL687">
        <v>0</v>
      </c>
      <c r="AM687">
        <v>0</v>
      </c>
      <c r="AN687">
        <v>0</v>
      </c>
      <c r="AO687">
        <v>0</v>
      </c>
      <c r="AP687">
        <v>980</v>
      </c>
      <c r="AT687" t="str">
        <f t="shared" si="159"/>
        <v>9791159284663</v>
      </c>
      <c r="AV687" t="str">
        <f t="shared" si="160"/>
        <v>판타지 웹소설 &gt; 퓨전 판타지</v>
      </c>
    </row>
    <row r="688" spans="1:48" x14ac:dyDescent="0.4">
      <c r="A688">
        <v>2313007845</v>
      </c>
      <c r="B688">
        <v>2313007971</v>
      </c>
      <c r="C688" t="str">
        <f>T("간신이 나라를 살림 127화")</f>
        <v>간신이 나라를 살림 127화</v>
      </c>
      <c r="D688" t="str">
        <f>T("127")</f>
        <v>127</v>
      </c>
      <c r="E688" t="str">
        <f t="shared" si="156"/>
        <v>루이세</v>
      </c>
      <c r="H688" t="str">
        <f t="shared" si="157"/>
        <v>스토리위즈</v>
      </c>
      <c r="I688" t="str">
        <f t="shared" si="158"/>
        <v>간신이 나라를 살림</v>
      </c>
      <c r="J688">
        <v>100</v>
      </c>
      <c r="K688">
        <v>1400</v>
      </c>
      <c r="L688">
        <v>14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1400</v>
      </c>
      <c r="AH688">
        <v>14</v>
      </c>
      <c r="AI688">
        <v>0</v>
      </c>
      <c r="AJ688">
        <v>0</v>
      </c>
      <c r="AK688">
        <v>1400</v>
      </c>
      <c r="AL688">
        <v>0</v>
      </c>
      <c r="AM688">
        <v>0</v>
      </c>
      <c r="AN688">
        <v>0</v>
      </c>
      <c r="AO688">
        <v>0</v>
      </c>
      <c r="AP688">
        <v>980</v>
      </c>
      <c r="AT688" t="str">
        <f t="shared" si="159"/>
        <v>9791159284663</v>
      </c>
      <c r="AV688" t="str">
        <f t="shared" si="160"/>
        <v>판타지 웹소설 &gt; 퓨전 판타지</v>
      </c>
    </row>
    <row r="689" spans="1:48" x14ac:dyDescent="0.4">
      <c r="A689">
        <v>2313007845</v>
      </c>
      <c r="B689">
        <v>2313007972</v>
      </c>
      <c r="C689" t="str">
        <f>T("간신이 나라를 살림 128화")</f>
        <v>간신이 나라를 살림 128화</v>
      </c>
      <c r="D689" t="str">
        <f>T("128")</f>
        <v>128</v>
      </c>
      <c r="E689" t="str">
        <f t="shared" si="156"/>
        <v>루이세</v>
      </c>
      <c r="H689" t="str">
        <f t="shared" si="157"/>
        <v>스토리위즈</v>
      </c>
      <c r="I689" t="str">
        <f t="shared" si="158"/>
        <v>간신이 나라를 살림</v>
      </c>
      <c r="J689">
        <v>100</v>
      </c>
      <c r="K689">
        <v>1400</v>
      </c>
      <c r="L689">
        <v>14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1400</v>
      </c>
      <c r="AH689">
        <v>14</v>
      </c>
      <c r="AI689">
        <v>0</v>
      </c>
      <c r="AJ689">
        <v>0</v>
      </c>
      <c r="AK689">
        <v>1400</v>
      </c>
      <c r="AL689">
        <v>0</v>
      </c>
      <c r="AM689">
        <v>0</v>
      </c>
      <c r="AN689">
        <v>0</v>
      </c>
      <c r="AO689">
        <v>0</v>
      </c>
      <c r="AP689">
        <v>980</v>
      </c>
      <c r="AT689" t="str">
        <f t="shared" si="159"/>
        <v>9791159284663</v>
      </c>
      <c r="AV689" t="str">
        <f t="shared" si="160"/>
        <v>판타지 웹소설 &gt; 퓨전 판타지</v>
      </c>
    </row>
    <row r="690" spans="1:48" x14ac:dyDescent="0.4">
      <c r="A690">
        <v>2313007845</v>
      </c>
      <c r="B690">
        <v>2313007973</v>
      </c>
      <c r="C690" t="str">
        <f>T("간신이 나라를 살림 129화")</f>
        <v>간신이 나라를 살림 129화</v>
      </c>
      <c r="D690" t="str">
        <f>T("129")</f>
        <v>129</v>
      </c>
      <c r="E690" t="str">
        <f t="shared" si="156"/>
        <v>루이세</v>
      </c>
      <c r="H690" t="str">
        <f t="shared" si="157"/>
        <v>스토리위즈</v>
      </c>
      <c r="I690" t="str">
        <f t="shared" si="158"/>
        <v>간신이 나라를 살림</v>
      </c>
      <c r="J690">
        <v>100</v>
      </c>
      <c r="K690">
        <v>1400</v>
      </c>
      <c r="L690">
        <v>14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1400</v>
      </c>
      <c r="AH690">
        <v>14</v>
      </c>
      <c r="AI690">
        <v>0</v>
      </c>
      <c r="AJ690">
        <v>0</v>
      </c>
      <c r="AK690">
        <v>1400</v>
      </c>
      <c r="AL690">
        <v>0</v>
      </c>
      <c r="AM690">
        <v>0</v>
      </c>
      <c r="AN690">
        <v>0</v>
      </c>
      <c r="AO690">
        <v>0</v>
      </c>
      <c r="AP690">
        <v>980</v>
      </c>
      <c r="AT690" t="str">
        <f t="shared" si="159"/>
        <v>9791159284663</v>
      </c>
      <c r="AV690" t="str">
        <f t="shared" si="160"/>
        <v>판타지 웹소설 &gt; 퓨전 판타지</v>
      </c>
    </row>
    <row r="691" spans="1:48" x14ac:dyDescent="0.4">
      <c r="A691">
        <v>2313007845</v>
      </c>
      <c r="B691">
        <v>2313007974</v>
      </c>
      <c r="C691" t="str">
        <f>T("간신이 나라를 살림 130화")</f>
        <v>간신이 나라를 살림 130화</v>
      </c>
      <c r="D691" t="str">
        <f>T("130")</f>
        <v>130</v>
      </c>
      <c r="E691" t="str">
        <f t="shared" si="156"/>
        <v>루이세</v>
      </c>
      <c r="H691" t="str">
        <f t="shared" si="157"/>
        <v>스토리위즈</v>
      </c>
      <c r="I691" t="str">
        <f t="shared" si="158"/>
        <v>간신이 나라를 살림</v>
      </c>
      <c r="J691">
        <v>100</v>
      </c>
      <c r="K691">
        <v>1400</v>
      </c>
      <c r="L691">
        <v>14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1400</v>
      </c>
      <c r="AH691">
        <v>14</v>
      </c>
      <c r="AI691">
        <v>0</v>
      </c>
      <c r="AJ691">
        <v>0</v>
      </c>
      <c r="AK691">
        <v>1400</v>
      </c>
      <c r="AL691">
        <v>0</v>
      </c>
      <c r="AM691">
        <v>0</v>
      </c>
      <c r="AN691">
        <v>0</v>
      </c>
      <c r="AO691">
        <v>0</v>
      </c>
      <c r="AP691">
        <v>980</v>
      </c>
      <c r="AT691" t="str">
        <f t="shared" si="159"/>
        <v>9791159284663</v>
      </c>
      <c r="AV691" t="str">
        <f t="shared" si="160"/>
        <v>판타지 웹소설 &gt; 퓨전 판타지</v>
      </c>
    </row>
    <row r="692" spans="1:48" x14ac:dyDescent="0.4">
      <c r="A692">
        <v>2313007845</v>
      </c>
      <c r="B692">
        <v>2313007975</v>
      </c>
      <c r="C692" t="str">
        <f>T("간신이 나라를 살림 131화")</f>
        <v>간신이 나라를 살림 131화</v>
      </c>
      <c r="D692" t="str">
        <f>T("131")</f>
        <v>131</v>
      </c>
      <c r="E692" t="str">
        <f t="shared" si="156"/>
        <v>루이세</v>
      </c>
      <c r="H692" t="str">
        <f t="shared" si="157"/>
        <v>스토리위즈</v>
      </c>
      <c r="I692" t="str">
        <f t="shared" si="158"/>
        <v>간신이 나라를 살림</v>
      </c>
      <c r="J692">
        <v>100</v>
      </c>
      <c r="K692">
        <v>1400</v>
      </c>
      <c r="L692">
        <v>14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1400</v>
      </c>
      <c r="AH692">
        <v>14</v>
      </c>
      <c r="AI692">
        <v>0</v>
      </c>
      <c r="AJ692">
        <v>0</v>
      </c>
      <c r="AK692">
        <v>1400</v>
      </c>
      <c r="AL692">
        <v>0</v>
      </c>
      <c r="AM692">
        <v>0</v>
      </c>
      <c r="AN692">
        <v>0</v>
      </c>
      <c r="AO692">
        <v>0</v>
      </c>
      <c r="AP692">
        <v>980</v>
      </c>
      <c r="AT692" t="str">
        <f t="shared" si="159"/>
        <v>9791159284663</v>
      </c>
      <c r="AV692" t="str">
        <f t="shared" si="160"/>
        <v>판타지 웹소설 &gt; 퓨전 판타지</v>
      </c>
    </row>
    <row r="693" spans="1:48" x14ac:dyDescent="0.4">
      <c r="A693">
        <v>2313007845</v>
      </c>
      <c r="B693">
        <v>2313007993</v>
      </c>
      <c r="C693" t="str">
        <f>T("간신이 나라를 살림 149화")</f>
        <v>간신이 나라를 살림 149화</v>
      </c>
      <c r="D693" t="str">
        <f>T("149")</f>
        <v>149</v>
      </c>
      <c r="E693" t="str">
        <f t="shared" si="156"/>
        <v>루이세</v>
      </c>
      <c r="H693" t="str">
        <f t="shared" si="157"/>
        <v>스토리위즈</v>
      </c>
      <c r="I693" t="str">
        <f t="shared" si="158"/>
        <v>간신이 나라를 살림</v>
      </c>
      <c r="J693">
        <v>100</v>
      </c>
      <c r="K693">
        <v>1400</v>
      </c>
      <c r="L693">
        <v>14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1400</v>
      </c>
      <c r="AH693">
        <v>14</v>
      </c>
      <c r="AI693">
        <v>0</v>
      </c>
      <c r="AJ693">
        <v>0</v>
      </c>
      <c r="AK693">
        <v>1400</v>
      </c>
      <c r="AL693">
        <v>0</v>
      </c>
      <c r="AM693">
        <v>0</v>
      </c>
      <c r="AN693">
        <v>0</v>
      </c>
      <c r="AO693">
        <v>0</v>
      </c>
      <c r="AP693">
        <v>980</v>
      </c>
      <c r="AT693" t="str">
        <f t="shared" si="159"/>
        <v>9791159284663</v>
      </c>
      <c r="AV693" t="str">
        <f t="shared" si="160"/>
        <v>판타지 웹소설 &gt; 퓨전 판타지</v>
      </c>
    </row>
    <row r="694" spans="1:48" x14ac:dyDescent="0.4">
      <c r="A694">
        <v>2313007845</v>
      </c>
      <c r="B694">
        <v>2313008105</v>
      </c>
      <c r="C694" t="str">
        <f>T("간신이 나라를 살림 261화 (완결)")</f>
        <v>간신이 나라를 살림 261화 (완결)</v>
      </c>
      <c r="D694" t="str">
        <f>T("261")</f>
        <v>261</v>
      </c>
      <c r="E694" t="str">
        <f t="shared" si="156"/>
        <v>루이세</v>
      </c>
      <c r="H694" t="str">
        <f t="shared" si="157"/>
        <v>스토리위즈</v>
      </c>
      <c r="I694" t="str">
        <f t="shared" si="158"/>
        <v>간신이 나라를 살림</v>
      </c>
      <c r="J694">
        <v>100</v>
      </c>
      <c r="K694">
        <v>1400</v>
      </c>
      <c r="L694">
        <v>14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1400</v>
      </c>
      <c r="AH694">
        <v>14</v>
      </c>
      <c r="AI694">
        <v>0</v>
      </c>
      <c r="AJ694">
        <v>0</v>
      </c>
      <c r="AK694">
        <v>1400</v>
      </c>
      <c r="AL694">
        <v>0</v>
      </c>
      <c r="AM694">
        <v>0</v>
      </c>
      <c r="AN694">
        <v>0</v>
      </c>
      <c r="AO694">
        <v>0</v>
      </c>
      <c r="AP694">
        <v>980</v>
      </c>
      <c r="AT694" t="str">
        <f t="shared" si="159"/>
        <v>9791159284663</v>
      </c>
      <c r="AV694" t="str">
        <f t="shared" si="160"/>
        <v>판타지 웹소설 &gt; 퓨전 판타지</v>
      </c>
    </row>
    <row r="695" spans="1:48" x14ac:dyDescent="0.4">
      <c r="A695">
        <v>2313012849</v>
      </c>
      <c r="B695">
        <v>2313012922</v>
      </c>
      <c r="C695" t="str">
        <f>T("디버프 마스터 74화")</f>
        <v>디버프 마스터 74화</v>
      </c>
      <c r="D695" t="str">
        <f>T("74")</f>
        <v>74</v>
      </c>
      <c r="E695" t="str">
        <f>T("담화공")</f>
        <v>담화공</v>
      </c>
      <c r="H695" t="str">
        <f t="shared" si="157"/>
        <v>스토리위즈</v>
      </c>
      <c r="I695" t="str">
        <f>T("디버프 마스터")</f>
        <v>디버프 마스터</v>
      </c>
      <c r="J695">
        <v>100</v>
      </c>
      <c r="K695">
        <v>1400</v>
      </c>
      <c r="L695">
        <v>14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1400</v>
      </c>
      <c r="AH695">
        <v>14</v>
      </c>
      <c r="AI695">
        <v>0</v>
      </c>
      <c r="AJ695">
        <v>0</v>
      </c>
      <c r="AK695">
        <v>1300</v>
      </c>
      <c r="AL695">
        <v>0</v>
      </c>
      <c r="AM695">
        <v>119.05</v>
      </c>
      <c r="AN695">
        <v>-35.72</v>
      </c>
      <c r="AO695">
        <v>0</v>
      </c>
      <c r="AP695">
        <v>968.33</v>
      </c>
      <c r="AT695" t="str">
        <f>T("9791137602663")</f>
        <v>9791137602663</v>
      </c>
      <c r="AV695" t="str">
        <f t="shared" si="160"/>
        <v>판타지 웹소설 &gt; 퓨전 판타지</v>
      </c>
    </row>
    <row r="696" spans="1:48" x14ac:dyDescent="0.4">
      <c r="A696">
        <v>2313012849</v>
      </c>
      <c r="B696">
        <v>2313012923</v>
      </c>
      <c r="C696" t="str">
        <f>T("디버프 마스터 75화")</f>
        <v>디버프 마스터 75화</v>
      </c>
      <c r="D696" t="str">
        <f>T("75")</f>
        <v>75</v>
      </c>
      <c r="E696" t="str">
        <f>T("담화공")</f>
        <v>담화공</v>
      </c>
      <c r="H696" t="str">
        <f t="shared" si="157"/>
        <v>스토리위즈</v>
      </c>
      <c r="I696" t="str">
        <f>T("디버프 마스터")</f>
        <v>디버프 마스터</v>
      </c>
      <c r="J696">
        <v>100</v>
      </c>
      <c r="K696">
        <v>1400</v>
      </c>
      <c r="L696">
        <v>14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1400</v>
      </c>
      <c r="AH696">
        <v>14</v>
      </c>
      <c r="AI696">
        <v>0</v>
      </c>
      <c r="AJ696">
        <v>0</v>
      </c>
      <c r="AK696">
        <v>1300</v>
      </c>
      <c r="AL696">
        <v>0</v>
      </c>
      <c r="AM696">
        <v>119.05</v>
      </c>
      <c r="AN696">
        <v>-35.72</v>
      </c>
      <c r="AO696">
        <v>0</v>
      </c>
      <c r="AP696">
        <v>968.33</v>
      </c>
      <c r="AT696" t="str">
        <f>T("9791137602663")</f>
        <v>9791137602663</v>
      </c>
      <c r="AV696" t="str">
        <f t="shared" si="160"/>
        <v>판타지 웹소설 &gt; 퓨전 판타지</v>
      </c>
    </row>
    <row r="697" spans="1:48" x14ac:dyDescent="0.4">
      <c r="A697">
        <v>2313012849</v>
      </c>
      <c r="B697">
        <v>2313012934</v>
      </c>
      <c r="C697" t="str">
        <f>T("디버프 마스터 86화")</f>
        <v>디버프 마스터 86화</v>
      </c>
      <c r="D697" t="str">
        <f>T("86")</f>
        <v>86</v>
      </c>
      <c r="E697" t="str">
        <f>T("담화공")</f>
        <v>담화공</v>
      </c>
      <c r="H697" t="str">
        <f t="shared" si="157"/>
        <v>스토리위즈</v>
      </c>
      <c r="I697" t="str">
        <f>T("디버프 마스터")</f>
        <v>디버프 마스터</v>
      </c>
      <c r="J697">
        <v>100</v>
      </c>
      <c r="K697">
        <v>1400</v>
      </c>
      <c r="L697">
        <v>14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1400</v>
      </c>
      <c r="AH697">
        <v>14</v>
      </c>
      <c r="AI697">
        <v>0</v>
      </c>
      <c r="AJ697">
        <v>0</v>
      </c>
      <c r="AK697">
        <v>1300</v>
      </c>
      <c r="AL697">
        <v>0</v>
      </c>
      <c r="AM697">
        <v>119.05</v>
      </c>
      <c r="AN697">
        <v>-35.72</v>
      </c>
      <c r="AO697">
        <v>0</v>
      </c>
      <c r="AP697">
        <v>968.33</v>
      </c>
      <c r="AT697" t="str">
        <f>T("9791137602663")</f>
        <v>9791137602663</v>
      </c>
      <c r="AV697" t="str">
        <f t="shared" si="160"/>
        <v>판타지 웹소설 &gt; 퓨전 판타지</v>
      </c>
    </row>
    <row r="698" spans="1:48" x14ac:dyDescent="0.4">
      <c r="A698">
        <v>2313017657</v>
      </c>
      <c r="B698">
        <v>2313017774</v>
      </c>
      <c r="C698" t="str">
        <f>T("회귀자의 슬기로운 복수생활 118화")</f>
        <v>회귀자의 슬기로운 복수생활 118화</v>
      </c>
      <c r="D698" t="str">
        <f>T("118")</f>
        <v>118</v>
      </c>
      <c r="E698" t="str">
        <f t="shared" ref="E698:E704" si="161">T("구공")</f>
        <v>구공</v>
      </c>
      <c r="H698" t="str">
        <f t="shared" si="157"/>
        <v>스토리위즈</v>
      </c>
      <c r="I698" t="str">
        <f t="shared" ref="I698:I704" si="162">T("회귀자의 슬기로운 복수생활")</f>
        <v>회귀자의 슬기로운 복수생활</v>
      </c>
      <c r="J698">
        <v>100</v>
      </c>
      <c r="K698">
        <v>1400</v>
      </c>
      <c r="L698">
        <v>14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1400</v>
      </c>
      <c r="AH698">
        <v>14</v>
      </c>
      <c r="AI698">
        <v>0</v>
      </c>
      <c r="AJ698">
        <v>0</v>
      </c>
      <c r="AK698">
        <v>1400</v>
      </c>
      <c r="AL698">
        <v>0</v>
      </c>
      <c r="AM698">
        <v>0</v>
      </c>
      <c r="AN698">
        <v>0</v>
      </c>
      <c r="AO698">
        <v>0</v>
      </c>
      <c r="AP698">
        <v>980</v>
      </c>
      <c r="AT698" t="str">
        <f t="shared" ref="AT698:AT704" si="163">T("9791137601710")</f>
        <v>9791137601710</v>
      </c>
      <c r="AV698" t="str">
        <f t="shared" si="160"/>
        <v>판타지 웹소설 &gt; 퓨전 판타지</v>
      </c>
    </row>
    <row r="699" spans="1:48" x14ac:dyDescent="0.4">
      <c r="A699">
        <v>2313017657</v>
      </c>
      <c r="B699">
        <v>2313017775</v>
      </c>
      <c r="C699" t="str">
        <f>T("회귀자의 슬기로운 복수생활 119화")</f>
        <v>회귀자의 슬기로운 복수생활 119화</v>
      </c>
      <c r="D699" t="str">
        <f>T("119")</f>
        <v>119</v>
      </c>
      <c r="E699" t="str">
        <f t="shared" si="161"/>
        <v>구공</v>
      </c>
      <c r="H699" t="str">
        <f t="shared" si="157"/>
        <v>스토리위즈</v>
      </c>
      <c r="I699" t="str">
        <f t="shared" si="162"/>
        <v>회귀자의 슬기로운 복수생활</v>
      </c>
      <c r="J699">
        <v>100</v>
      </c>
      <c r="K699">
        <v>1400</v>
      </c>
      <c r="L699">
        <v>14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1400</v>
      </c>
      <c r="AH699">
        <v>14</v>
      </c>
      <c r="AI699">
        <v>0</v>
      </c>
      <c r="AJ699">
        <v>0</v>
      </c>
      <c r="AK699">
        <v>1400</v>
      </c>
      <c r="AL699">
        <v>0</v>
      </c>
      <c r="AM699">
        <v>0</v>
      </c>
      <c r="AN699">
        <v>0</v>
      </c>
      <c r="AO699">
        <v>0</v>
      </c>
      <c r="AP699">
        <v>980</v>
      </c>
      <c r="AT699" t="str">
        <f t="shared" si="163"/>
        <v>9791137601710</v>
      </c>
      <c r="AV699" t="str">
        <f t="shared" si="160"/>
        <v>판타지 웹소설 &gt; 퓨전 판타지</v>
      </c>
    </row>
    <row r="700" spans="1:48" x14ac:dyDescent="0.4">
      <c r="A700">
        <v>2313017657</v>
      </c>
      <c r="B700">
        <v>2313017776</v>
      </c>
      <c r="C700" t="str">
        <f>T("회귀자의 슬기로운 복수생활 120화")</f>
        <v>회귀자의 슬기로운 복수생활 120화</v>
      </c>
      <c r="D700" t="str">
        <f>T("120")</f>
        <v>120</v>
      </c>
      <c r="E700" t="str">
        <f t="shared" si="161"/>
        <v>구공</v>
      </c>
      <c r="H700" t="str">
        <f t="shared" si="157"/>
        <v>스토리위즈</v>
      </c>
      <c r="I700" t="str">
        <f t="shared" si="162"/>
        <v>회귀자의 슬기로운 복수생활</v>
      </c>
      <c r="J700">
        <v>100</v>
      </c>
      <c r="K700">
        <v>1400</v>
      </c>
      <c r="L700">
        <v>14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1400</v>
      </c>
      <c r="AH700">
        <v>14</v>
      </c>
      <c r="AI700">
        <v>0</v>
      </c>
      <c r="AJ700">
        <v>0</v>
      </c>
      <c r="AK700">
        <v>1400</v>
      </c>
      <c r="AL700">
        <v>0</v>
      </c>
      <c r="AM700">
        <v>0</v>
      </c>
      <c r="AN700">
        <v>0</v>
      </c>
      <c r="AO700">
        <v>0</v>
      </c>
      <c r="AP700">
        <v>980</v>
      </c>
      <c r="AT700" t="str">
        <f t="shared" si="163"/>
        <v>9791137601710</v>
      </c>
      <c r="AV700" t="str">
        <f t="shared" si="160"/>
        <v>판타지 웹소설 &gt; 퓨전 판타지</v>
      </c>
    </row>
    <row r="701" spans="1:48" x14ac:dyDescent="0.4">
      <c r="A701">
        <v>2313017657</v>
      </c>
      <c r="B701">
        <v>2313017777</v>
      </c>
      <c r="C701" t="str">
        <f>T("회귀자의 슬기로운 복수생활 121화")</f>
        <v>회귀자의 슬기로운 복수생활 121화</v>
      </c>
      <c r="D701" t="str">
        <f>T("121")</f>
        <v>121</v>
      </c>
      <c r="E701" t="str">
        <f t="shared" si="161"/>
        <v>구공</v>
      </c>
      <c r="H701" t="str">
        <f t="shared" si="157"/>
        <v>스토리위즈</v>
      </c>
      <c r="I701" t="str">
        <f t="shared" si="162"/>
        <v>회귀자의 슬기로운 복수생활</v>
      </c>
      <c r="J701">
        <v>100</v>
      </c>
      <c r="K701">
        <v>1400</v>
      </c>
      <c r="L701">
        <v>14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1400</v>
      </c>
      <c r="AH701">
        <v>14</v>
      </c>
      <c r="AI701">
        <v>0</v>
      </c>
      <c r="AJ701">
        <v>0</v>
      </c>
      <c r="AK701">
        <v>1400</v>
      </c>
      <c r="AL701">
        <v>0</v>
      </c>
      <c r="AM701">
        <v>0</v>
      </c>
      <c r="AN701">
        <v>0</v>
      </c>
      <c r="AO701">
        <v>0</v>
      </c>
      <c r="AP701">
        <v>980</v>
      </c>
      <c r="AT701" t="str">
        <f t="shared" si="163"/>
        <v>9791137601710</v>
      </c>
      <c r="AV701" t="str">
        <f t="shared" si="160"/>
        <v>판타지 웹소설 &gt; 퓨전 판타지</v>
      </c>
    </row>
    <row r="702" spans="1:48" x14ac:dyDescent="0.4">
      <c r="A702">
        <v>2313017657</v>
      </c>
      <c r="B702">
        <v>2313017778</v>
      </c>
      <c r="C702" t="str">
        <f>T("회귀자의 슬기로운 복수생활 122화")</f>
        <v>회귀자의 슬기로운 복수생활 122화</v>
      </c>
      <c r="D702" t="str">
        <f>T("122")</f>
        <v>122</v>
      </c>
      <c r="E702" t="str">
        <f t="shared" si="161"/>
        <v>구공</v>
      </c>
      <c r="H702" t="str">
        <f t="shared" si="157"/>
        <v>스토리위즈</v>
      </c>
      <c r="I702" t="str">
        <f t="shared" si="162"/>
        <v>회귀자의 슬기로운 복수생활</v>
      </c>
      <c r="J702">
        <v>100</v>
      </c>
      <c r="K702">
        <v>1400</v>
      </c>
      <c r="L702">
        <v>14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1400</v>
      </c>
      <c r="AH702">
        <v>14</v>
      </c>
      <c r="AI702">
        <v>0</v>
      </c>
      <c r="AJ702">
        <v>0</v>
      </c>
      <c r="AK702">
        <v>1400</v>
      </c>
      <c r="AL702">
        <v>0</v>
      </c>
      <c r="AM702">
        <v>0</v>
      </c>
      <c r="AN702">
        <v>0</v>
      </c>
      <c r="AO702">
        <v>0</v>
      </c>
      <c r="AP702">
        <v>980</v>
      </c>
      <c r="AT702" t="str">
        <f t="shared" si="163"/>
        <v>9791137601710</v>
      </c>
      <c r="AV702" t="str">
        <f t="shared" si="160"/>
        <v>판타지 웹소설 &gt; 퓨전 판타지</v>
      </c>
    </row>
    <row r="703" spans="1:48" x14ac:dyDescent="0.4">
      <c r="A703">
        <v>2313017657</v>
      </c>
      <c r="B703">
        <v>2313017782</v>
      </c>
      <c r="C703" t="str">
        <f>T("회귀자의 슬기로운 복수생활 126화")</f>
        <v>회귀자의 슬기로운 복수생활 126화</v>
      </c>
      <c r="D703" t="str">
        <f>T("126")</f>
        <v>126</v>
      </c>
      <c r="E703" t="str">
        <f t="shared" si="161"/>
        <v>구공</v>
      </c>
      <c r="H703" t="str">
        <f t="shared" si="157"/>
        <v>스토리위즈</v>
      </c>
      <c r="I703" t="str">
        <f t="shared" si="162"/>
        <v>회귀자의 슬기로운 복수생활</v>
      </c>
      <c r="J703">
        <v>100</v>
      </c>
      <c r="K703">
        <v>1400</v>
      </c>
      <c r="L703">
        <v>14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1400</v>
      </c>
      <c r="AH703">
        <v>14</v>
      </c>
      <c r="AI703">
        <v>0</v>
      </c>
      <c r="AJ703">
        <v>0</v>
      </c>
      <c r="AK703">
        <v>1400</v>
      </c>
      <c r="AL703">
        <v>0</v>
      </c>
      <c r="AM703">
        <v>0</v>
      </c>
      <c r="AN703">
        <v>0</v>
      </c>
      <c r="AO703">
        <v>0</v>
      </c>
      <c r="AP703">
        <v>980</v>
      </c>
      <c r="AT703" t="str">
        <f t="shared" si="163"/>
        <v>9791137601710</v>
      </c>
      <c r="AV703" t="str">
        <f t="shared" si="160"/>
        <v>판타지 웹소설 &gt; 퓨전 판타지</v>
      </c>
    </row>
    <row r="704" spans="1:48" x14ac:dyDescent="0.4">
      <c r="A704">
        <v>2313017657</v>
      </c>
      <c r="B704">
        <v>2313017854</v>
      </c>
      <c r="C704" t="str">
        <f>T("회귀자의 슬기로운 복수생활 198화")</f>
        <v>회귀자의 슬기로운 복수생활 198화</v>
      </c>
      <c r="D704" t="str">
        <f>T("198")</f>
        <v>198</v>
      </c>
      <c r="E704" t="str">
        <f t="shared" si="161"/>
        <v>구공</v>
      </c>
      <c r="H704" t="str">
        <f t="shared" si="157"/>
        <v>스토리위즈</v>
      </c>
      <c r="I704" t="str">
        <f t="shared" si="162"/>
        <v>회귀자의 슬기로운 복수생활</v>
      </c>
      <c r="J704">
        <v>100</v>
      </c>
      <c r="K704">
        <v>1400</v>
      </c>
      <c r="L704">
        <v>14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1400</v>
      </c>
      <c r="AH704">
        <v>14</v>
      </c>
      <c r="AI704">
        <v>0</v>
      </c>
      <c r="AJ704">
        <v>0</v>
      </c>
      <c r="AK704">
        <v>1400</v>
      </c>
      <c r="AL704">
        <v>0</v>
      </c>
      <c r="AM704">
        <v>0</v>
      </c>
      <c r="AN704">
        <v>0</v>
      </c>
      <c r="AO704">
        <v>0</v>
      </c>
      <c r="AP704">
        <v>980</v>
      </c>
      <c r="AT704" t="str">
        <f t="shared" si="163"/>
        <v>9791137601710</v>
      </c>
      <c r="AV704" t="str">
        <f t="shared" si="160"/>
        <v>판타지 웹소설 &gt; 퓨전 판타지</v>
      </c>
    </row>
    <row r="705" spans="1:48" x14ac:dyDescent="0.4">
      <c r="A705">
        <v>2313007845</v>
      </c>
      <c r="B705">
        <v>2313007961</v>
      </c>
      <c r="C705" t="str">
        <f>T("간신이 나라를 살림 117화")</f>
        <v>간신이 나라를 살림 117화</v>
      </c>
      <c r="D705" t="str">
        <f>T("117")</f>
        <v>117</v>
      </c>
      <c r="E705" t="str">
        <f t="shared" ref="E705:E728" si="164">T("루이세")</f>
        <v>루이세</v>
      </c>
      <c r="H705" t="str">
        <f t="shared" si="157"/>
        <v>스토리위즈</v>
      </c>
      <c r="I705" t="str">
        <f t="shared" ref="I705:I728" si="165">T("간신이 나라를 살림")</f>
        <v>간신이 나라를 살림</v>
      </c>
      <c r="J705">
        <v>100</v>
      </c>
      <c r="K705">
        <v>1300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1300</v>
      </c>
      <c r="AH705">
        <v>13</v>
      </c>
      <c r="AI705">
        <v>0</v>
      </c>
      <c r="AJ705">
        <v>0</v>
      </c>
      <c r="AK705">
        <v>1300</v>
      </c>
      <c r="AL705">
        <v>0</v>
      </c>
      <c r="AM705">
        <v>0</v>
      </c>
      <c r="AN705">
        <v>0</v>
      </c>
      <c r="AO705">
        <v>0</v>
      </c>
      <c r="AP705">
        <v>910</v>
      </c>
      <c r="AT705" t="str">
        <f t="shared" ref="AT705:AT728" si="166">T("9791159284663")</f>
        <v>9791159284663</v>
      </c>
      <c r="AV705" t="str">
        <f t="shared" si="160"/>
        <v>판타지 웹소설 &gt; 퓨전 판타지</v>
      </c>
    </row>
    <row r="706" spans="1:48" x14ac:dyDescent="0.4">
      <c r="A706">
        <v>2313007845</v>
      </c>
      <c r="B706">
        <v>2313007969</v>
      </c>
      <c r="C706" t="str">
        <f>T("간신이 나라를 살림 125화")</f>
        <v>간신이 나라를 살림 125화</v>
      </c>
      <c r="D706" t="str">
        <f>T("125")</f>
        <v>125</v>
      </c>
      <c r="E706" t="str">
        <f t="shared" si="164"/>
        <v>루이세</v>
      </c>
      <c r="H706" t="str">
        <f t="shared" si="157"/>
        <v>스토리위즈</v>
      </c>
      <c r="I706" t="str">
        <f t="shared" si="165"/>
        <v>간신이 나라를 살림</v>
      </c>
      <c r="J706">
        <v>100</v>
      </c>
      <c r="K706">
        <v>1300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1300</v>
      </c>
      <c r="AH706">
        <v>13</v>
      </c>
      <c r="AI706">
        <v>0</v>
      </c>
      <c r="AJ706">
        <v>0</v>
      </c>
      <c r="AK706">
        <v>1300</v>
      </c>
      <c r="AL706">
        <v>0</v>
      </c>
      <c r="AM706">
        <v>0</v>
      </c>
      <c r="AN706">
        <v>0</v>
      </c>
      <c r="AO706">
        <v>0</v>
      </c>
      <c r="AP706">
        <v>910</v>
      </c>
      <c r="AT706" t="str">
        <f t="shared" si="166"/>
        <v>9791159284663</v>
      </c>
      <c r="AV706" t="str">
        <f t="shared" si="160"/>
        <v>판타지 웹소설 &gt; 퓨전 판타지</v>
      </c>
    </row>
    <row r="707" spans="1:48" x14ac:dyDescent="0.4">
      <c r="A707">
        <v>2313007845</v>
      </c>
      <c r="B707">
        <v>2313007976</v>
      </c>
      <c r="C707" t="str">
        <f>T("간신이 나라를 살림 132화")</f>
        <v>간신이 나라를 살림 132화</v>
      </c>
      <c r="D707" t="str">
        <f>T("132")</f>
        <v>132</v>
      </c>
      <c r="E707" t="str">
        <f t="shared" si="164"/>
        <v>루이세</v>
      </c>
      <c r="H707" t="str">
        <f t="shared" si="157"/>
        <v>스토리위즈</v>
      </c>
      <c r="I707" t="str">
        <f t="shared" si="165"/>
        <v>간신이 나라를 살림</v>
      </c>
      <c r="J707">
        <v>100</v>
      </c>
      <c r="K707">
        <v>1300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1300</v>
      </c>
      <c r="AH707">
        <v>13</v>
      </c>
      <c r="AI707">
        <v>0</v>
      </c>
      <c r="AJ707">
        <v>0</v>
      </c>
      <c r="AK707">
        <v>1300</v>
      </c>
      <c r="AL707">
        <v>0</v>
      </c>
      <c r="AM707">
        <v>0</v>
      </c>
      <c r="AN707">
        <v>0</v>
      </c>
      <c r="AO707">
        <v>0</v>
      </c>
      <c r="AP707">
        <v>910</v>
      </c>
      <c r="AT707" t="str">
        <f t="shared" si="166"/>
        <v>9791159284663</v>
      </c>
      <c r="AV707" t="str">
        <f t="shared" si="160"/>
        <v>판타지 웹소설 &gt; 퓨전 판타지</v>
      </c>
    </row>
    <row r="708" spans="1:48" x14ac:dyDescent="0.4">
      <c r="A708">
        <v>2313007845</v>
      </c>
      <c r="B708">
        <v>2313007977</v>
      </c>
      <c r="C708" t="str">
        <f>T("간신이 나라를 살림 133화")</f>
        <v>간신이 나라를 살림 133화</v>
      </c>
      <c r="D708" t="str">
        <f>T("133")</f>
        <v>133</v>
      </c>
      <c r="E708" t="str">
        <f t="shared" si="164"/>
        <v>루이세</v>
      </c>
      <c r="H708" t="str">
        <f t="shared" si="157"/>
        <v>스토리위즈</v>
      </c>
      <c r="I708" t="str">
        <f t="shared" si="165"/>
        <v>간신이 나라를 살림</v>
      </c>
      <c r="J708">
        <v>100</v>
      </c>
      <c r="K708">
        <v>1300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1300</v>
      </c>
      <c r="AH708">
        <v>13</v>
      </c>
      <c r="AI708">
        <v>0</v>
      </c>
      <c r="AJ708">
        <v>0</v>
      </c>
      <c r="AK708">
        <v>1300</v>
      </c>
      <c r="AL708">
        <v>0</v>
      </c>
      <c r="AM708">
        <v>0</v>
      </c>
      <c r="AN708">
        <v>0</v>
      </c>
      <c r="AO708">
        <v>0</v>
      </c>
      <c r="AP708">
        <v>910</v>
      </c>
      <c r="AT708" t="str">
        <f t="shared" si="166"/>
        <v>9791159284663</v>
      </c>
      <c r="AV708" t="str">
        <f t="shared" si="160"/>
        <v>판타지 웹소설 &gt; 퓨전 판타지</v>
      </c>
    </row>
    <row r="709" spans="1:48" x14ac:dyDescent="0.4">
      <c r="A709">
        <v>2313007845</v>
      </c>
      <c r="B709">
        <v>2313007978</v>
      </c>
      <c r="C709" t="str">
        <f>T("간신이 나라를 살림 134화")</f>
        <v>간신이 나라를 살림 134화</v>
      </c>
      <c r="D709" t="str">
        <f>T("134")</f>
        <v>134</v>
      </c>
      <c r="E709" t="str">
        <f t="shared" si="164"/>
        <v>루이세</v>
      </c>
      <c r="H709" t="str">
        <f t="shared" si="157"/>
        <v>스토리위즈</v>
      </c>
      <c r="I709" t="str">
        <f t="shared" si="165"/>
        <v>간신이 나라를 살림</v>
      </c>
      <c r="J709">
        <v>100</v>
      </c>
      <c r="K709">
        <v>1300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1300</v>
      </c>
      <c r="AH709">
        <v>13</v>
      </c>
      <c r="AI709">
        <v>0</v>
      </c>
      <c r="AJ709">
        <v>0</v>
      </c>
      <c r="AK709">
        <v>1300</v>
      </c>
      <c r="AL709">
        <v>0</v>
      </c>
      <c r="AM709">
        <v>0</v>
      </c>
      <c r="AN709">
        <v>0</v>
      </c>
      <c r="AO709">
        <v>0</v>
      </c>
      <c r="AP709">
        <v>910</v>
      </c>
      <c r="AT709" t="str">
        <f t="shared" si="166"/>
        <v>9791159284663</v>
      </c>
      <c r="AV709" t="str">
        <f t="shared" si="160"/>
        <v>판타지 웹소설 &gt; 퓨전 판타지</v>
      </c>
    </row>
    <row r="710" spans="1:48" x14ac:dyDescent="0.4">
      <c r="A710">
        <v>2313007845</v>
      </c>
      <c r="B710">
        <v>2313007979</v>
      </c>
      <c r="C710" t="str">
        <f>T("간신이 나라를 살림 135화")</f>
        <v>간신이 나라를 살림 135화</v>
      </c>
      <c r="D710" t="str">
        <f>T("135")</f>
        <v>135</v>
      </c>
      <c r="E710" t="str">
        <f t="shared" si="164"/>
        <v>루이세</v>
      </c>
      <c r="H710" t="str">
        <f t="shared" si="157"/>
        <v>스토리위즈</v>
      </c>
      <c r="I710" t="str">
        <f t="shared" si="165"/>
        <v>간신이 나라를 살림</v>
      </c>
      <c r="J710">
        <v>100</v>
      </c>
      <c r="K710">
        <v>1300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1300</v>
      </c>
      <c r="AH710">
        <v>13</v>
      </c>
      <c r="AI710">
        <v>0</v>
      </c>
      <c r="AJ710">
        <v>0</v>
      </c>
      <c r="AK710">
        <v>1300</v>
      </c>
      <c r="AL710">
        <v>0</v>
      </c>
      <c r="AM710">
        <v>0</v>
      </c>
      <c r="AN710">
        <v>0</v>
      </c>
      <c r="AO710">
        <v>0</v>
      </c>
      <c r="AP710">
        <v>910</v>
      </c>
      <c r="AT710" t="str">
        <f t="shared" si="166"/>
        <v>9791159284663</v>
      </c>
      <c r="AV710" t="str">
        <f t="shared" si="160"/>
        <v>판타지 웹소설 &gt; 퓨전 판타지</v>
      </c>
    </row>
    <row r="711" spans="1:48" x14ac:dyDescent="0.4">
      <c r="A711">
        <v>2313007845</v>
      </c>
      <c r="B711">
        <v>2313007980</v>
      </c>
      <c r="C711" t="str">
        <f>T("간신이 나라를 살림 136화")</f>
        <v>간신이 나라를 살림 136화</v>
      </c>
      <c r="D711" t="str">
        <f>T("136")</f>
        <v>136</v>
      </c>
      <c r="E711" t="str">
        <f t="shared" si="164"/>
        <v>루이세</v>
      </c>
      <c r="H711" t="str">
        <f t="shared" si="157"/>
        <v>스토리위즈</v>
      </c>
      <c r="I711" t="str">
        <f t="shared" si="165"/>
        <v>간신이 나라를 살림</v>
      </c>
      <c r="J711">
        <v>100</v>
      </c>
      <c r="K711">
        <v>1300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1300</v>
      </c>
      <c r="AH711">
        <v>13</v>
      </c>
      <c r="AI711">
        <v>0</v>
      </c>
      <c r="AJ711">
        <v>0</v>
      </c>
      <c r="AK711">
        <v>1300</v>
      </c>
      <c r="AL711">
        <v>0</v>
      </c>
      <c r="AM711">
        <v>0</v>
      </c>
      <c r="AN711">
        <v>0</v>
      </c>
      <c r="AO711">
        <v>0</v>
      </c>
      <c r="AP711">
        <v>910</v>
      </c>
      <c r="AT711" t="str">
        <f t="shared" si="166"/>
        <v>9791159284663</v>
      </c>
      <c r="AV711" t="str">
        <f t="shared" si="160"/>
        <v>판타지 웹소설 &gt; 퓨전 판타지</v>
      </c>
    </row>
    <row r="712" spans="1:48" x14ac:dyDescent="0.4">
      <c r="A712">
        <v>2313007845</v>
      </c>
      <c r="B712">
        <v>2313007981</v>
      </c>
      <c r="C712" t="str">
        <f>T("간신이 나라를 살림 137화")</f>
        <v>간신이 나라를 살림 137화</v>
      </c>
      <c r="D712" t="str">
        <f>T("137")</f>
        <v>137</v>
      </c>
      <c r="E712" t="str">
        <f t="shared" si="164"/>
        <v>루이세</v>
      </c>
      <c r="H712" t="str">
        <f t="shared" si="157"/>
        <v>스토리위즈</v>
      </c>
      <c r="I712" t="str">
        <f t="shared" si="165"/>
        <v>간신이 나라를 살림</v>
      </c>
      <c r="J712">
        <v>100</v>
      </c>
      <c r="K712">
        <v>1300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1300</v>
      </c>
      <c r="AH712">
        <v>13</v>
      </c>
      <c r="AI712">
        <v>0</v>
      </c>
      <c r="AJ712">
        <v>0</v>
      </c>
      <c r="AK712">
        <v>1300</v>
      </c>
      <c r="AL712">
        <v>0</v>
      </c>
      <c r="AM712">
        <v>0</v>
      </c>
      <c r="AN712">
        <v>0</v>
      </c>
      <c r="AO712">
        <v>0</v>
      </c>
      <c r="AP712">
        <v>910</v>
      </c>
      <c r="AT712" t="str">
        <f t="shared" si="166"/>
        <v>9791159284663</v>
      </c>
      <c r="AV712" t="str">
        <f t="shared" si="160"/>
        <v>판타지 웹소설 &gt; 퓨전 판타지</v>
      </c>
    </row>
    <row r="713" spans="1:48" x14ac:dyDescent="0.4">
      <c r="A713">
        <v>2313007845</v>
      </c>
      <c r="B713">
        <v>2313007982</v>
      </c>
      <c r="C713" t="str">
        <f>T("간신이 나라를 살림 138화")</f>
        <v>간신이 나라를 살림 138화</v>
      </c>
      <c r="D713" t="str">
        <f>T("138")</f>
        <v>138</v>
      </c>
      <c r="E713" t="str">
        <f t="shared" si="164"/>
        <v>루이세</v>
      </c>
      <c r="H713" t="str">
        <f t="shared" si="157"/>
        <v>스토리위즈</v>
      </c>
      <c r="I713" t="str">
        <f t="shared" si="165"/>
        <v>간신이 나라를 살림</v>
      </c>
      <c r="J713">
        <v>100</v>
      </c>
      <c r="K713">
        <v>1300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1300</v>
      </c>
      <c r="AH713">
        <v>13</v>
      </c>
      <c r="AI713">
        <v>0</v>
      </c>
      <c r="AJ713">
        <v>0</v>
      </c>
      <c r="AK713">
        <v>1300</v>
      </c>
      <c r="AL713">
        <v>0</v>
      </c>
      <c r="AM713">
        <v>0</v>
      </c>
      <c r="AN713">
        <v>0</v>
      </c>
      <c r="AO713">
        <v>0</v>
      </c>
      <c r="AP713">
        <v>910</v>
      </c>
      <c r="AT713" t="str">
        <f t="shared" si="166"/>
        <v>9791159284663</v>
      </c>
      <c r="AV713" t="str">
        <f t="shared" si="160"/>
        <v>판타지 웹소설 &gt; 퓨전 판타지</v>
      </c>
    </row>
    <row r="714" spans="1:48" x14ac:dyDescent="0.4">
      <c r="A714">
        <v>2313007845</v>
      </c>
      <c r="B714">
        <v>2313007983</v>
      </c>
      <c r="C714" t="str">
        <f>T("간신이 나라를 살림 139화")</f>
        <v>간신이 나라를 살림 139화</v>
      </c>
      <c r="D714" t="str">
        <f>T("139")</f>
        <v>139</v>
      </c>
      <c r="E714" t="str">
        <f t="shared" si="164"/>
        <v>루이세</v>
      </c>
      <c r="H714" t="str">
        <f t="shared" si="157"/>
        <v>스토리위즈</v>
      </c>
      <c r="I714" t="str">
        <f t="shared" si="165"/>
        <v>간신이 나라를 살림</v>
      </c>
      <c r="J714">
        <v>100</v>
      </c>
      <c r="K714">
        <v>1300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1300</v>
      </c>
      <c r="AH714">
        <v>13</v>
      </c>
      <c r="AI714">
        <v>0</v>
      </c>
      <c r="AJ714">
        <v>0</v>
      </c>
      <c r="AK714">
        <v>1300</v>
      </c>
      <c r="AL714">
        <v>0</v>
      </c>
      <c r="AM714">
        <v>0</v>
      </c>
      <c r="AN714">
        <v>0</v>
      </c>
      <c r="AO714">
        <v>0</v>
      </c>
      <c r="AP714">
        <v>910</v>
      </c>
      <c r="AT714" t="str">
        <f t="shared" si="166"/>
        <v>9791159284663</v>
      </c>
      <c r="AV714" t="str">
        <f t="shared" si="160"/>
        <v>판타지 웹소설 &gt; 퓨전 판타지</v>
      </c>
    </row>
    <row r="715" spans="1:48" x14ac:dyDescent="0.4">
      <c r="A715">
        <v>2313007845</v>
      </c>
      <c r="B715">
        <v>2313007984</v>
      </c>
      <c r="C715" t="str">
        <f>T("간신이 나라를 살림 140화")</f>
        <v>간신이 나라를 살림 140화</v>
      </c>
      <c r="D715" t="str">
        <f>T("140")</f>
        <v>140</v>
      </c>
      <c r="E715" t="str">
        <f t="shared" si="164"/>
        <v>루이세</v>
      </c>
      <c r="H715" t="str">
        <f t="shared" si="157"/>
        <v>스토리위즈</v>
      </c>
      <c r="I715" t="str">
        <f t="shared" si="165"/>
        <v>간신이 나라를 살림</v>
      </c>
      <c r="J715">
        <v>100</v>
      </c>
      <c r="K715">
        <v>1300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1300</v>
      </c>
      <c r="AH715">
        <v>13</v>
      </c>
      <c r="AI715">
        <v>0</v>
      </c>
      <c r="AJ715">
        <v>0</v>
      </c>
      <c r="AK715">
        <v>1300</v>
      </c>
      <c r="AL715">
        <v>0</v>
      </c>
      <c r="AM715">
        <v>0</v>
      </c>
      <c r="AN715">
        <v>0</v>
      </c>
      <c r="AO715">
        <v>0</v>
      </c>
      <c r="AP715">
        <v>910</v>
      </c>
      <c r="AT715" t="str">
        <f t="shared" si="166"/>
        <v>9791159284663</v>
      </c>
      <c r="AV715" t="str">
        <f t="shared" si="160"/>
        <v>판타지 웹소설 &gt; 퓨전 판타지</v>
      </c>
    </row>
    <row r="716" spans="1:48" x14ac:dyDescent="0.4">
      <c r="A716">
        <v>2313007845</v>
      </c>
      <c r="B716">
        <v>2313007985</v>
      </c>
      <c r="C716" t="str">
        <f>T("간신이 나라를 살림 141화")</f>
        <v>간신이 나라를 살림 141화</v>
      </c>
      <c r="D716" t="str">
        <f>T("141")</f>
        <v>141</v>
      </c>
      <c r="E716" t="str">
        <f t="shared" si="164"/>
        <v>루이세</v>
      </c>
      <c r="H716" t="str">
        <f t="shared" si="157"/>
        <v>스토리위즈</v>
      </c>
      <c r="I716" t="str">
        <f t="shared" si="165"/>
        <v>간신이 나라를 살림</v>
      </c>
      <c r="J716">
        <v>100</v>
      </c>
      <c r="K716">
        <v>1300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1300</v>
      </c>
      <c r="AH716">
        <v>13</v>
      </c>
      <c r="AI716">
        <v>0</v>
      </c>
      <c r="AJ716">
        <v>0</v>
      </c>
      <c r="AK716">
        <v>1300</v>
      </c>
      <c r="AL716">
        <v>0</v>
      </c>
      <c r="AM716">
        <v>0</v>
      </c>
      <c r="AN716">
        <v>0</v>
      </c>
      <c r="AO716">
        <v>0</v>
      </c>
      <c r="AP716">
        <v>910</v>
      </c>
      <c r="AT716" t="str">
        <f t="shared" si="166"/>
        <v>9791159284663</v>
      </c>
      <c r="AV716" t="str">
        <f t="shared" si="160"/>
        <v>판타지 웹소설 &gt; 퓨전 판타지</v>
      </c>
    </row>
    <row r="717" spans="1:48" x14ac:dyDescent="0.4">
      <c r="A717">
        <v>2313007845</v>
      </c>
      <c r="B717">
        <v>2313007986</v>
      </c>
      <c r="C717" t="str">
        <f>T("간신이 나라를 살림 142화")</f>
        <v>간신이 나라를 살림 142화</v>
      </c>
      <c r="D717" t="str">
        <f>T("142")</f>
        <v>142</v>
      </c>
      <c r="E717" t="str">
        <f t="shared" si="164"/>
        <v>루이세</v>
      </c>
      <c r="H717" t="str">
        <f t="shared" si="157"/>
        <v>스토리위즈</v>
      </c>
      <c r="I717" t="str">
        <f t="shared" si="165"/>
        <v>간신이 나라를 살림</v>
      </c>
      <c r="J717">
        <v>100</v>
      </c>
      <c r="K717">
        <v>1300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1300</v>
      </c>
      <c r="AH717">
        <v>13</v>
      </c>
      <c r="AI717">
        <v>0</v>
      </c>
      <c r="AJ717">
        <v>0</v>
      </c>
      <c r="AK717">
        <v>1300</v>
      </c>
      <c r="AL717">
        <v>0</v>
      </c>
      <c r="AM717">
        <v>0</v>
      </c>
      <c r="AN717">
        <v>0</v>
      </c>
      <c r="AO717">
        <v>0</v>
      </c>
      <c r="AP717">
        <v>910</v>
      </c>
      <c r="AT717" t="str">
        <f t="shared" si="166"/>
        <v>9791159284663</v>
      </c>
      <c r="AV717" t="str">
        <f t="shared" si="160"/>
        <v>판타지 웹소설 &gt; 퓨전 판타지</v>
      </c>
    </row>
    <row r="718" spans="1:48" x14ac:dyDescent="0.4">
      <c r="A718">
        <v>2313007845</v>
      </c>
      <c r="B718">
        <v>2313007987</v>
      </c>
      <c r="C718" t="str">
        <f>T("간신이 나라를 살림 143화")</f>
        <v>간신이 나라를 살림 143화</v>
      </c>
      <c r="D718" t="str">
        <f>T("143")</f>
        <v>143</v>
      </c>
      <c r="E718" t="str">
        <f t="shared" si="164"/>
        <v>루이세</v>
      </c>
      <c r="H718" t="str">
        <f t="shared" si="157"/>
        <v>스토리위즈</v>
      </c>
      <c r="I718" t="str">
        <f t="shared" si="165"/>
        <v>간신이 나라를 살림</v>
      </c>
      <c r="J718">
        <v>100</v>
      </c>
      <c r="K718">
        <v>1300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1300</v>
      </c>
      <c r="AH718">
        <v>13</v>
      </c>
      <c r="AI718">
        <v>0</v>
      </c>
      <c r="AJ718">
        <v>0</v>
      </c>
      <c r="AK718">
        <v>1300</v>
      </c>
      <c r="AL718">
        <v>0</v>
      </c>
      <c r="AM718">
        <v>0</v>
      </c>
      <c r="AN718">
        <v>0</v>
      </c>
      <c r="AO718">
        <v>0</v>
      </c>
      <c r="AP718">
        <v>910</v>
      </c>
      <c r="AT718" t="str">
        <f t="shared" si="166"/>
        <v>9791159284663</v>
      </c>
      <c r="AV718" t="str">
        <f t="shared" si="160"/>
        <v>판타지 웹소설 &gt; 퓨전 판타지</v>
      </c>
    </row>
    <row r="719" spans="1:48" x14ac:dyDescent="0.4">
      <c r="A719">
        <v>2313007845</v>
      </c>
      <c r="B719">
        <v>2313007988</v>
      </c>
      <c r="C719" t="str">
        <f>T("간신이 나라를 살림 144화")</f>
        <v>간신이 나라를 살림 144화</v>
      </c>
      <c r="D719" t="str">
        <f>T("144")</f>
        <v>144</v>
      </c>
      <c r="E719" t="str">
        <f t="shared" si="164"/>
        <v>루이세</v>
      </c>
      <c r="H719" t="str">
        <f t="shared" si="157"/>
        <v>스토리위즈</v>
      </c>
      <c r="I719" t="str">
        <f t="shared" si="165"/>
        <v>간신이 나라를 살림</v>
      </c>
      <c r="J719">
        <v>100</v>
      </c>
      <c r="K719">
        <v>1300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1300</v>
      </c>
      <c r="AH719">
        <v>13</v>
      </c>
      <c r="AI719">
        <v>0</v>
      </c>
      <c r="AJ719">
        <v>0</v>
      </c>
      <c r="AK719">
        <v>1300</v>
      </c>
      <c r="AL719">
        <v>0</v>
      </c>
      <c r="AM719">
        <v>0</v>
      </c>
      <c r="AN719">
        <v>0</v>
      </c>
      <c r="AO719">
        <v>0</v>
      </c>
      <c r="AP719">
        <v>910</v>
      </c>
      <c r="AT719" t="str">
        <f t="shared" si="166"/>
        <v>9791159284663</v>
      </c>
      <c r="AV719" t="str">
        <f t="shared" si="160"/>
        <v>판타지 웹소설 &gt; 퓨전 판타지</v>
      </c>
    </row>
    <row r="720" spans="1:48" x14ac:dyDescent="0.4">
      <c r="A720">
        <v>2313007845</v>
      </c>
      <c r="B720">
        <v>2313007989</v>
      </c>
      <c r="C720" t="str">
        <f>T("간신이 나라를 살림 145화")</f>
        <v>간신이 나라를 살림 145화</v>
      </c>
      <c r="D720" t="str">
        <f>T("145")</f>
        <v>145</v>
      </c>
      <c r="E720" t="str">
        <f t="shared" si="164"/>
        <v>루이세</v>
      </c>
      <c r="H720" t="str">
        <f t="shared" si="157"/>
        <v>스토리위즈</v>
      </c>
      <c r="I720" t="str">
        <f t="shared" si="165"/>
        <v>간신이 나라를 살림</v>
      </c>
      <c r="J720">
        <v>100</v>
      </c>
      <c r="K720">
        <v>1300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1300</v>
      </c>
      <c r="AH720">
        <v>13</v>
      </c>
      <c r="AI720">
        <v>0</v>
      </c>
      <c r="AJ720">
        <v>0</v>
      </c>
      <c r="AK720">
        <v>1300</v>
      </c>
      <c r="AL720">
        <v>0</v>
      </c>
      <c r="AM720">
        <v>0</v>
      </c>
      <c r="AN720">
        <v>0</v>
      </c>
      <c r="AO720">
        <v>0</v>
      </c>
      <c r="AP720">
        <v>910</v>
      </c>
      <c r="AT720" t="str">
        <f t="shared" si="166"/>
        <v>9791159284663</v>
      </c>
      <c r="AV720" t="str">
        <f t="shared" si="160"/>
        <v>판타지 웹소설 &gt; 퓨전 판타지</v>
      </c>
    </row>
    <row r="721" spans="1:48" x14ac:dyDescent="0.4">
      <c r="A721">
        <v>2313007845</v>
      </c>
      <c r="B721">
        <v>2313007990</v>
      </c>
      <c r="C721" t="str">
        <f>T("간신이 나라를 살림 146화")</f>
        <v>간신이 나라를 살림 146화</v>
      </c>
      <c r="D721" t="str">
        <f>T("146")</f>
        <v>146</v>
      </c>
      <c r="E721" t="str">
        <f t="shared" si="164"/>
        <v>루이세</v>
      </c>
      <c r="H721" t="str">
        <f t="shared" si="157"/>
        <v>스토리위즈</v>
      </c>
      <c r="I721" t="str">
        <f t="shared" si="165"/>
        <v>간신이 나라를 살림</v>
      </c>
      <c r="J721">
        <v>100</v>
      </c>
      <c r="K721">
        <v>1300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1300</v>
      </c>
      <c r="AH721">
        <v>13</v>
      </c>
      <c r="AI721">
        <v>0</v>
      </c>
      <c r="AJ721">
        <v>0</v>
      </c>
      <c r="AK721">
        <v>1300</v>
      </c>
      <c r="AL721">
        <v>0</v>
      </c>
      <c r="AM721">
        <v>0</v>
      </c>
      <c r="AN721">
        <v>0</v>
      </c>
      <c r="AO721">
        <v>0</v>
      </c>
      <c r="AP721">
        <v>910</v>
      </c>
      <c r="AT721" t="str">
        <f t="shared" si="166"/>
        <v>9791159284663</v>
      </c>
      <c r="AV721" t="str">
        <f t="shared" si="160"/>
        <v>판타지 웹소설 &gt; 퓨전 판타지</v>
      </c>
    </row>
    <row r="722" spans="1:48" x14ac:dyDescent="0.4">
      <c r="A722">
        <v>2313007845</v>
      </c>
      <c r="B722">
        <v>2313007991</v>
      </c>
      <c r="C722" t="str">
        <f>T("간신이 나라를 살림 147화")</f>
        <v>간신이 나라를 살림 147화</v>
      </c>
      <c r="D722" t="str">
        <f>T("147")</f>
        <v>147</v>
      </c>
      <c r="E722" t="str">
        <f t="shared" si="164"/>
        <v>루이세</v>
      </c>
      <c r="H722" t="str">
        <f t="shared" si="157"/>
        <v>스토리위즈</v>
      </c>
      <c r="I722" t="str">
        <f t="shared" si="165"/>
        <v>간신이 나라를 살림</v>
      </c>
      <c r="J722">
        <v>100</v>
      </c>
      <c r="K722">
        <v>1300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1300</v>
      </c>
      <c r="AH722">
        <v>13</v>
      </c>
      <c r="AI722">
        <v>0</v>
      </c>
      <c r="AJ722">
        <v>0</v>
      </c>
      <c r="AK722">
        <v>1300</v>
      </c>
      <c r="AL722">
        <v>0</v>
      </c>
      <c r="AM722">
        <v>0</v>
      </c>
      <c r="AN722">
        <v>0</v>
      </c>
      <c r="AO722">
        <v>0</v>
      </c>
      <c r="AP722">
        <v>910</v>
      </c>
      <c r="AT722" t="str">
        <f t="shared" si="166"/>
        <v>9791159284663</v>
      </c>
      <c r="AV722" t="str">
        <f t="shared" si="160"/>
        <v>판타지 웹소설 &gt; 퓨전 판타지</v>
      </c>
    </row>
    <row r="723" spans="1:48" x14ac:dyDescent="0.4">
      <c r="A723">
        <v>2313007845</v>
      </c>
      <c r="B723">
        <v>2313007992</v>
      </c>
      <c r="C723" t="str">
        <f>T("간신이 나라를 살림 148화")</f>
        <v>간신이 나라를 살림 148화</v>
      </c>
      <c r="D723" t="str">
        <f>T("148")</f>
        <v>148</v>
      </c>
      <c r="E723" t="str">
        <f t="shared" si="164"/>
        <v>루이세</v>
      </c>
      <c r="H723" t="str">
        <f t="shared" si="157"/>
        <v>스토리위즈</v>
      </c>
      <c r="I723" t="str">
        <f t="shared" si="165"/>
        <v>간신이 나라를 살림</v>
      </c>
      <c r="J723">
        <v>100</v>
      </c>
      <c r="K723">
        <v>1300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1300</v>
      </c>
      <c r="AH723">
        <v>13</v>
      </c>
      <c r="AI723">
        <v>0</v>
      </c>
      <c r="AJ723">
        <v>0</v>
      </c>
      <c r="AK723">
        <v>1300</v>
      </c>
      <c r="AL723">
        <v>0</v>
      </c>
      <c r="AM723">
        <v>0</v>
      </c>
      <c r="AN723">
        <v>0</v>
      </c>
      <c r="AO723">
        <v>0</v>
      </c>
      <c r="AP723">
        <v>910</v>
      </c>
      <c r="AT723" t="str">
        <f t="shared" si="166"/>
        <v>9791159284663</v>
      </c>
      <c r="AV723" t="str">
        <f t="shared" si="160"/>
        <v>판타지 웹소설 &gt; 퓨전 판타지</v>
      </c>
    </row>
    <row r="724" spans="1:48" x14ac:dyDescent="0.4">
      <c r="A724">
        <v>2313007845</v>
      </c>
      <c r="B724">
        <v>2313007994</v>
      </c>
      <c r="C724" t="str">
        <f>T("간신이 나라를 살림 150화")</f>
        <v>간신이 나라를 살림 150화</v>
      </c>
      <c r="D724" t="str">
        <f>T("150")</f>
        <v>150</v>
      </c>
      <c r="E724" t="str">
        <f t="shared" si="164"/>
        <v>루이세</v>
      </c>
      <c r="H724" t="str">
        <f t="shared" si="157"/>
        <v>스토리위즈</v>
      </c>
      <c r="I724" t="str">
        <f t="shared" si="165"/>
        <v>간신이 나라를 살림</v>
      </c>
      <c r="J724">
        <v>100</v>
      </c>
      <c r="K724">
        <v>1300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1300</v>
      </c>
      <c r="AH724">
        <v>13</v>
      </c>
      <c r="AI724">
        <v>0</v>
      </c>
      <c r="AJ724">
        <v>0</v>
      </c>
      <c r="AK724">
        <v>1300</v>
      </c>
      <c r="AL724">
        <v>0</v>
      </c>
      <c r="AM724">
        <v>0</v>
      </c>
      <c r="AN724">
        <v>0</v>
      </c>
      <c r="AO724">
        <v>0</v>
      </c>
      <c r="AP724">
        <v>910</v>
      </c>
      <c r="AT724" t="str">
        <f t="shared" si="166"/>
        <v>9791159284663</v>
      </c>
      <c r="AV724" t="str">
        <f t="shared" si="160"/>
        <v>판타지 웹소설 &gt; 퓨전 판타지</v>
      </c>
    </row>
    <row r="725" spans="1:48" x14ac:dyDescent="0.4">
      <c r="A725">
        <v>2313007845</v>
      </c>
      <c r="B725">
        <v>2313007995</v>
      </c>
      <c r="C725" t="str">
        <f>T("간신이 나라를 살림 151화")</f>
        <v>간신이 나라를 살림 151화</v>
      </c>
      <c r="D725" t="str">
        <f>T("151")</f>
        <v>151</v>
      </c>
      <c r="E725" t="str">
        <f t="shared" si="164"/>
        <v>루이세</v>
      </c>
      <c r="H725" t="str">
        <f t="shared" si="157"/>
        <v>스토리위즈</v>
      </c>
      <c r="I725" t="str">
        <f t="shared" si="165"/>
        <v>간신이 나라를 살림</v>
      </c>
      <c r="J725">
        <v>100</v>
      </c>
      <c r="K725">
        <v>1300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1300</v>
      </c>
      <c r="AH725">
        <v>13</v>
      </c>
      <c r="AI725">
        <v>0</v>
      </c>
      <c r="AJ725">
        <v>0</v>
      </c>
      <c r="AK725">
        <v>1300</v>
      </c>
      <c r="AL725">
        <v>0</v>
      </c>
      <c r="AM725">
        <v>0</v>
      </c>
      <c r="AN725">
        <v>0</v>
      </c>
      <c r="AO725">
        <v>0</v>
      </c>
      <c r="AP725">
        <v>910</v>
      </c>
      <c r="AT725" t="str">
        <f t="shared" si="166"/>
        <v>9791159284663</v>
      </c>
      <c r="AV725" t="str">
        <f t="shared" si="160"/>
        <v>판타지 웹소설 &gt; 퓨전 판타지</v>
      </c>
    </row>
    <row r="726" spans="1:48" x14ac:dyDescent="0.4">
      <c r="A726">
        <v>2313007845</v>
      </c>
      <c r="B726">
        <v>2313007996</v>
      </c>
      <c r="C726" t="str">
        <f>T("간신이 나라를 살림 152화")</f>
        <v>간신이 나라를 살림 152화</v>
      </c>
      <c r="D726" t="str">
        <f>T("152")</f>
        <v>152</v>
      </c>
      <c r="E726" t="str">
        <f t="shared" si="164"/>
        <v>루이세</v>
      </c>
      <c r="H726" t="str">
        <f t="shared" si="157"/>
        <v>스토리위즈</v>
      </c>
      <c r="I726" t="str">
        <f t="shared" si="165"/>
        <v>간신이 나라를 살림</v>
      </c>
      <c r="J726">
        <v>100</v>
      </c>
      <c r="K726">
        <v>1300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1300</v>
      </c>
      <c r="AH726">
        <v>13</v>
      </c>
      <c r="AI726">
        <v>0</v>
      </c>
      <c r="AJ726">
        <v>0</v>
      </c>
      <c r="AK726">
        <v>1300</v>
      </c>
      <c r="AL726">
        <v>0</v>
      </c>
      <c r="AM726">
        <v>0</v>
      </c>
      <c r="AN726">
        <v>0</v>
      </c>
      <c r="AO726">
        <v>0</v>
      </c>
      <c r="AP726">
        <v>910</v>
      </c>
      <c r="AT726" t="str">
        <f t="shared" si="166"/>
        <v>9791159284663</v>
      </c>
      <c r="AV726" t="str">
        <f t="shared" si="160"/>
        <v>판타지 웹소설 &gt; 퓨전 판타지</v>
      </c>
    </row>
    <row r="727" spans="1:48" x14ac:dyDescent="0.4">
      <c r="A727">
        <v>2313007845</v>
      </c>
      <c r="B727">
        <v>2313007997</v>
      </c>
      <c r="C727" t="str">
        <f>T("간신이 나라를 살림 153화")</f>
        <v>간신이 나라를 살림 153화</v>
      </c>
      <c r="D727" t="str">
        <f>T("153")</f>
        <v>153</v>
      </c>
      <c r="E727" t="str">
        <f t="shared" si="164"/>
        <v>루이세</v>
      </c>
      <c r="H727" t="str">
        <f t="shared" si="157"/>
        <v>스토리위즈</v>
      </c>
      <c r="I727" t="str">
        <f t="shared" si="165"/>
        <v>간신이 나라를 살림</v>
      </c>
      <c r="J727">
        <v>100</v>
      </c>
      <c r="K727">
        <v>1300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1300</v>
      </c>
      <c r="AH727">
        <v>13</v>
      </c>
      <c r="AI727">
        <v>0</v>
      </c>
      <c r="AJ727">
        <v>0</v>
      </c>
      <c r="AK727">
        <v>1300</v>
      </c>
      <c r="AL727">
        <v>0</v>
      </c>
      <c r="AM727">
        <v>0</v>
      </c>
      <c r="AN727">
        <v>0</v>
      </c>
      <c r="AO727">
        <v>0</v>
      </c>
      <c r="AP727">
        <v>910</v>
      </c>
      <c r="AT727" t="str">
        <f t="shared" si="166"/>
        <v>9791159284663</v>
      </c>
      <c r="AV727" t="str">
        <f t="shared" si="160"/>
        <v>판타지 웹소설 &gt; 퓨전 판타지</v>
      </c>
    </row>
    <row r="728" spans="1:48" x14ac:dyDescent="0.4">
      <c r="A728">
        <v>2313007845</v>
      </c>
      <c r="B728">
        <v>2313008102</v>
      </c>
      <c r="C728" t="str">
        <f>T("간신이 나라를 살림 258화")</f>
        <v>간신이 나라를 살림 258화</v>
      </c>
      <c r="D728" t="str">
        <f>T("258")</f>
        <v>258</v>
      </c>
      <c r="E728" t="str">
        <f t="shared" si="164"/>
        <v>루이세</v>
      </c>
      <c r="H728" t="str">
        <f t="shared" si="157"/>
        <v>스토리위즈</v>
      </c>
      <c r="I728" t="str">
        <f t="shared" si="165"/>
        <v>간신이 나라를 살림</v>
      </c>
      <c r="J728">
        <v>100</v>
      </c>
      <c r="K728">
        <v>1300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1300</v>
      </c>
      <c r="AH728">
        <v>13</v>
      </c>
      <c r="AI728">
        <v>0</v>
      </c>
      <c r="AJ728">
        <v>0</v>
      </c>
      <c r="AK728">
        <v>1300</v>
      </c>
      <c r="AL728">
        <v>0</v>
      </c>
      <c r="AM728">
        <v>0</v>
      </c>
      <c r="AN728">
        <v>0</v>
      </c>
      <c r="AO728">
        <v>0</v>
      </c>
      <c r="AP728">
        <v>910</v>
      </c>
      <c r="AT728" t="str">
        <f t="shared" si="166"/>
        <v>9791159284663</v>
      </c>
      <c r="AV728" t="str">
        <f t="shared" si="160"/>
        <v>판타지 웹소설 &gt; 퓨전 판타지</v>
      </c>
    </row>
    <row r="729" spans="1:48" x14ac:dyDescent="0.4">
      <c r="A729">
        <v>2313012849</v>
      </c>
      <c r="B729">
        <v>2313012924</v>
      </c>
      <c r="C729" t="str">
        <f>T("디버프 마스터 76화")</f>
        <v>디버프 마스터 76화</v>
      </c>
      <c r="D729" t="str">
        <f>T("76")</f>
        <v>76</v>
      </c>
      <c r="E729" t="str">
        <f t="shared" ref="E729:E739" si="167">T("담화공")</f>
        <v>담화공</v>
      </c>
      <c r="H729" t="str">
        <f t="shared" si="157"/>
        <v>스토리위즈</v>
      </c>
      <c r="I729" t="str">
        <f t="shared" ref="I729:I739" si="168">T("디버프 마스터")</f>
        <v>디버프 마스터</v>
      </c>
      <c r="J729">
        <v>100</v>
      </c>
      <c r="K729">
        <v>1300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1300</v>
      </c>
      <c r="AH729">
        <v>13</v>
      </c>
      <c r="AI729">
        <v>0</v>
      </c>
      <c r="AJ729">
        <v>0</v>
      </c>
      <c r="AK729">
        <v>1200</v>
      </c>
      <c r="AL729">
        <v>0</v>
      </c>
      <c r="AM729">
        <v>119.05</v>
      </c>
      <c r="AN729">
        <v>-35.72</v>
      </c>
      <c r="AO729">
        <v>0</v>
      </c>
      <c r="AP729">
        <v>898.33</v>
      </c>
      <c r="AT729" t="str">
        <f t="shared" ref="AT729:AT739" si="169">T("9791137602663")</f>
        <v>9791137602663</v>
      </c>
      <c r="AV729" t="str">
        <f t="shared" si="160"/>
        <v>판타지 웹소설 &gt; 퓨전 판타지</v>
      </c>
    </row>
    <row r="730" spans="1:48" x14ac:dyDescent="0.4">
      <c r="A730">
        <v>2313012849</v>
      </c>
      <c r="B730">
        <v>2313012926</v>
      </c>
      <c r="C730" t="str">
        <f>T("디버프 마스터 78화")</f>
        <v>디버프 마스터 78화</v>
      </c>
      <c r="D730" t="str">
        <f>T("78")</f>
        <v>78</v>
      </c>
      <c r="E730" t="str">
        <f t="shared" si="167"/>
        <v>담화공</v>
      </c>
      <c r="H730" t="str">
        <f t="shared" si="157"/>
        <v>스토리위즈</v>
      </c>
      <c r="I730" t="str">
        <f t="shared" si="168"/>
        <v>디버프 마스터</v>
      </c>
      <c r="J730">
        <v>100</v>
      </c>
      <c r="K730">
        <v>1300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1300</v>
      </c>
      <c r="AH730">
        <v>13</v>
      </c>
      <c r="AI730">
        <v>0</v>
      </c>
      <c r="AJ730">
        <v>0</v>
      </c>
      <c r="AK730">
        <v>1200</v>
      </c>
      <c r="AL730">
        <v>0</v>
      </c>
      <c r="AM730">
        <v>119.05</v>
      </c>
      <c r="AN730">
        <v>-35.72</v>
      </c>
      <c r="AO730">
        <v>0</v>
      </c>
      <c r="AP730">
        <v>898.33</v>
      </c>
      <c r="AT730" t="str">
        <f t="shared" si="169"/>
        <v>9791137602663</v>
      </c>
      <c r="AV730" t="str">
        <f t="shared" si="160"/>
        <v>판타지 웹소설 &gt; 퓨전 판타지</v>
      </c>
    </row>
    <row r="731" spans="1:48" x14ac:dyDescent="0.4">
      <c r="A731">
        <v>2313012849</v>
      </c>
      <c r="B731">
        <v>2313012927</v>
      </c>
      <c r="C731" t="str">
        <f>T("디버프 마스터 79화")</f>
        <v>디버프 마스터 79화</v>
      </c>
      <c r="D731" t="str">
        <f>T("79")</f>
        <v>79</v>
      </c>
      <c r="E731" t="str">
        <f t="shared" si="167"/>
        <v>담화공</v>
      </c>
      <c r="H731" t="str">
        <f t="shared" si="157"/>
        <v>스토리위즈</v>
      </c>
      <c r="I731" t="str">
        <f t="shared" si="168"/>
        <v>디버프 마스터</v>
      </c>
      <c r="J731">
        <v>100</v>
      </c>
      <c r="K731">
        <v>1300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1300</v>
      </c>
      <c r="AH731">
        <v>13</v>
      </c>
      <c r="AI731">
        <v>0</v>
      </c>
      <c r="AJ731">
        <v>0</v>
      </c>
      <c r="AK731">
        <v>1200</v>
      </c>
      <c r="AL731">
        <v>0</v>
      </c>
      <c r="AM731">
        <v>119.05</v>
      </c>
      <c r="AN731">
        <v>-35.72</v>
      </c>
      <c r="AO731">
        <v>0</v>
      </c>
      <c r="AP731">
        <v>898.33</v>
      </c>
      <c r="AT731" t="str">
        <f t="shared" si="169"/>
        <v>9791137602663</v>
      </c>
      <c r="AV731" t="str">
        <f t="shared" si="160"/>
        <v>판타지 웹소설 &gt; 퓨전 판타지</v>
      </c>
    </row>
    <row r="732" spans="1:48" x14ac:dyDescent="0.4">
      <c r="A732">
        <v>2313012849</v>
      </c>
      <c r="B732">
        <v>2313012930</v>
      </c>
      <c r="C732" t="str">
        <f>T("디버프 마스터 82화")</f>
        <v>디버프 마스터 82화</v>
      </c>
      <c r="D732" t="str">
        <f>T("82")</f>
        <v>82</v>
      </c>
      <c r="E732" t="str">
        <f t="shared" si="167"/>
        <v>담화공</v>
      </c>
      <c r="H732" t="str">
        <f t="shared" si="157"/>
        <v>스토리위즈</v>
      </c>
      <c r="I732" t="str">
        <f t="shared" si="168"/>
        <v>디버프 마스터</v>
      </c>
      <c r="J732">
        <v>100</v>
      </c>
      <c r="K732">
        <v>1300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1300</v>
      </c>
      <c r="AH732">
        <v>13</v>
      </c>
      <c r="AI732">
        <v>0</v>
      </c>
      <c r="AJ732">
        <v>0</v>
      </c>
      <c r="AK732">
        <v>1200</v>
      </c>
      <c r="AL732">
        <v>0</v>
      </c>
      <c r="AM732">
        <v>119.05</v>
      </c>
      <c r="AN732">
        <v>-35.72</v>
      </c>
      <c r="AO732">
        <v>0</v>
      </c>
      <c r="AP732">
        <v>898.33</v>
      </c>
      <c r="AT732" t="str">
        <f t="shared" si="169"/>
        <v>9791137602663</v>
      </c>
      <c r="AV732" t="str">
        <f t="shared" si="160"/>
        <v>판타지 웹소설 &gt; 퓨전 판타지</v>
      </c>
    </row>
    <row r="733" spans="1:48" x14ac:dyDescent="0.4">
      <c r="A733">
        <v>2313012849</v>
      </c>
      <c r="B733">
        <v>2313012931</v>
      </c>
      <c r="C733" t="str">
        <f>T("디버프 마스터 83화")</f>
        <v>디버프 마스터 83화</v>
      </c>
      <c r="D733" t="str">
        <f>T("83")</f>
        <v>83</v>
      </c>
      <c r="E733" t="str">
        <f t="shared" si="167"/>
        <v>담화공</v>
      </c>
      <c r="H733" t="str">
        <f t="shared" si="157"/>
        <v>스토리위즈</v>
      </c>
      <c r="I733" t="str">
        <f t="shared" si="168"/>
        <v>디버프 마스터</v>
      </c>
      <c r="J733">
        <v>100</v>
      </c>
      <c r="K733">
        <v>1300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1300</v>
      </c>
      <c r="AH733">
        <v>13</v>
      </c>
      <c r="AI733">
        <v>0</v>
      </c>
      <c r="AJ733">
        <v>0</v>
      </c>
      <c r="AK733">
        <v>1200</v>
      </c>
      <c r="AL733">
        <v>0</v>
      </c>
      <c r="AM733">
        <v>119.05</v>
      </c>
      <c r="AN733">
        <v>-35.72</v>
      </c>
      <c r="AO733">
        <v>0</v>
      </c>
      <c r="AP733">
        <v>898.33</v>
      </c>
      <c r="AT733" t="str">
        <f t="shared" si="169"/>
        <v>9791137602663</v>
      </c>
      <c r="AV733" t="str">
        <f t="shared" si="160"/>
        <v>판타지 웹소설 &gt; 퓨전 판타지</v>
      </c>
    </row>
    <row r="734" spans="1:48" x14ac:dyDescent="0.4">
      <c r="A734">
        <v>2313012849</v>
      </c>
      <c r="B734">
        <v>2313012932</v>
      </c>
      <c r="C734" t="str">
        <f>T("디버프 마스터 84화")</f>
        <v>디버프 마스터 84화</v>
      </c>
      <c r="D734" t="str">
        <f>T("84")</f>
        <v>84</v>
      </c>
      <c r="E734" t="str">
        <f t="shared" si="167"/>
        <v>담화공</v>
      </c>
      <c r="H734" t="str">
        <f t="shared" si="157"/>
        <v>스토리위즈</v>
      </c>
      <c r="I734" t="str">
        <f t="shared" si="168"/>
        <v>디버프 마스터</v>
      </c>
      <c r="J734">
        <v>100</v>
      </c>
      <c r="K734">
        <v>1300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1300</v>
      </c>
      <c r="AH734">
        <v>13</v>
      </c>
      <c r="AI734">
        <v>0</v>
      </c>
      <c r="AJ734">
        <v>0</v>
      </c>
      <c r="AK734">
        <v>1200</v>
      </c>
      <c r="AL734">
        <v>0</v>
      </c>
      <c r="AM734">
        <v>119.05</v>
      </c>
      <c r="AN734">
        <v>-35.72</v>
      </c>
      <c r="AO734">
        <v>0</v>
      </c>
      <c r="AP734">
        <v>898.33</v>
      </c>
      <c r="AT734" t="str">
        <f t="shared" si="169"/>
        <v>9791137602663</v>
      </c>
      <c r="AV734" t="str">
        <f t="shared" si="160"/>
        <v>판타지 웹소설 &gt; 퓨전 판타지</v>
      </c>
    </row>
    <row r="735" spans="1:48" x14ac:dyDescent="0.4">
      <c r="A735">
        <v>2313012849</v>
      </c>
      <c r="B735">
        <v>2313012933</v>
      </c>
      <c r="C735" t="str">
        <f>T("디버프 마스터 85화")</f>
        <v>디버프 마스터 85화</v>
      </c>
      <c r="D735" t="str">
        <f>T("85")</f>
        <v>85</v>
      </c>
      <c r="E735" t="str">
        <f t="shared" si="167"/>
        <v>담화공</v>
      </c>
      <c r="H735" t="str">
        <f t="shared" ref="H735:H779" si="170">T("스토리위즈")</f>
        <v>스토리위즈</v>
      </c>
      <c r="I735" t="str">
        <f t="shared" si="168"/>
        <v>디버프 마스터</v>
      </c>
      <c r="J735">
        <v>100</v>
      </c>
      <c r="K735">
        <v>1300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1300</v>
      </c>
      <c r="AH735">
        <v>13</v>
      </c>
      <c r="AI735">
        <v>0</v>
      </c>
      <c r="AJ735">
        <v>0</v>
      </c>
      <c r="AK735">
        <v>1200</v>
      </c>
      <c r="AL735">
        <v>0</v>
      </c>
      <c r="AM735">
        <v>119.05</v>
      </c>
      <c r="AN735">
        <v>-35.72</v>
      </c>
      <c r="AO735">
        <v>0</v>
      </c>
      <c r="AP735">
        <v>898.33</v>
      </c>
      <c r="AT735" t="str">
        <f t="shared" si="169"/>
        <v>9791137602663</v>
      </c>
      <c r="AV735" t="str">
        <f t="shared" ref="AV735:AV771" si="171">T("판타지 웹소설 &gt; 퓨전 판타지")</f>
        <v>판타지 웹소설 &gt; 퓨전 판타지</v>
      </c>
    </row>
    <row r="736" spans="1:48" x14ac:dyDescent="0.4">
      <c r="A736">
        <v>2313012849</v>
      </c>
      <c r="B736">
        <v>2313012935</v>
      </c>
      <c r="C736" t="str">
        <f>T("디버프 마스터 87화")</f>
        <v>디버프 마스터 87화</v>
      </c>
      <c r="D736" t="str">
        <f>T("87")</f>
        <v>87</v>
      </c>
      <c r="E736" t="str">
        <f t="shared" si="167"/>
        <v>담화공</v>
      </c>
      <c r="H736" t="str">
        <f t="shared" si="170"/>
        <v>스토리위즈</v>
      </c>
      <c r="I736" t="str">
        <f t="shared" si="168"/>
        <v>디버프 마스터</v>
      </c>
      <c r="J736">
        <v>100</v>
      </c>
      <c r="K736">
        <v>1300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1300</v>
      </c>
      <c r="AH736">
        <v>13</v>
      </c>
      <c r="AI736">
        <v>0</v>
      </c>
      <c r="AJ736">
        <v>0</v>
      </c>
      <c r="AK736">
        <v>1200</v>
      </c>
      <c r="AL736">
        <v>0</v>
      </c>
      <c r="AM736">
        <v>119.05</v>
      </c>
      <c r="AN736">
        <v>-35.72</v>
      </c>
      <c r="AO736">
        <v>0</v>
      </c>
      <c r="AP736">
        <v>898.33</v>
      </c>
      <c r="AT736" t="str">
        <f t="shared" si="169"/>
        <v>9791137602663</v>
      </c>
      <c r="AV736" t="str">
        <f t="shared" si="171"/>
        <v>판타지 웹소설 &gt; 퓨전 판타지</v>
      </c>
    </row>
    <row r="737" spans="1:48" x14ac:dyDescent="0.4">
      <c r="A737">
        <v>2313012849</v>
      </c>
      <c r="B737">
        <v>2313012936</v>
      </c>
      <c r="C737" t="str">
        <f>T("디버프 마스터 88화")</f>
        <v>디버프 마스터 88화</v>
      </c>
      <c r="D737" t="str">
        <f>T("88")</f>
        <v>88</v>
      </c>
      <c r="E737" t="str">
        <f t="shared" si="167"/>
        <v>담화공</v>
      </c>
      <c r="H737" t="str">
        <f t="shared" si="170"/>
        <v>스토리위즈</v>
      </c>
      <c r="I737" t="str">
        <f t="shared" si="168"/>
        <v>디버프 마스터</v>
      </c>
      <c r="J737">
        <v>100</v>
      </c>
      <c r="K737">
        <v>1300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1300</v>
      </c>
      <c r="AH737">
        <v>13</v>
      </c>
      <c r="AI737">
        <v>0</v>
      </c>
      <c r="AJ737">
        <v>0</v>
      </c>
      <c r="AK737">
        <v>1200</v>
      </c>
      <c r="AL737">
        <v>0</v>
      </c>
      <c r="AM737">
        <v>119.05</v>
      </c>
      <c r="AN737">
        <v>-35.72</v>
      </c>
      <c r="AO737">
        <v>0</v>
      </c>
      <c r="AP737">
        <v>898.33</v>
      </c>
      <c r="AT737" t="str">
        <f t="shared" si="169"/>
        <v>9791137602663</v>
      </c>
      <c r="AV737" t="str">
        <f t="shared" si="171"/>
        <v>판타지 웹소설 &gt; 퓨전 판타지</v>
      </c>
    </row>
    <row r="738" spans="1:48" x14ac:dyDescent="0.4">
      <c r="A738">
        <v>2313012849</v>
      </c>
      <c r="B738">
        <v>2313012937</v>
      </c>
      <c r="C738" t="str">
        <f>T("디버프 마스터 89화")</f>
        <v>디버프 마스터 89화</v>
      </c>
      <c r="D738" t="str">
        <f>T("89")</f>
        <v>89</v>
      </c>
      <c r="E738" t="str">
        <f t="shared" si="167"/>
        <v>담화공</v>
      </c>
      <c r="H738" t="str">
        <f t="shared" si="170"/>
        <v>스토리위즈</v>
      </c>
      <c r="I738" t="str">
        <f t="shared" si="168"/>
        <v>디버프 마스터</v>
      </c>
      <c r="J738">
        <v>100</v>
      </c>
      <c r="K738">
        <v>1300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1300</v>
      </c>
      <c r="AH738">
        <v>13</v>
      </c>
      <c r="AI738">
        <v>0</v>
      </c>
      <c r="AJ738">
        <v>0</v>
      </c>
      <c r="AK738">
        <v>1200</v>
      </c>
      <c r="AL738">
        <v>0</v>
      </c>
      <c r="AM738">
        <v>119.05</v>
      </c>
      <c r="AN738">
        <v>-35.72</v>
      </c>
      <c r="AO738">
        <v>0</v>
      </c>
      <c r="AP738">
        <v>898.33</v>
      </c>
      <c r="AT738" t="str">
        <f t="shared" si="169"/>
        <v>9791137602663</v>
      </c>
      <c r="AV738" t="str">
        <f t="shared" si="171"/>
        <v>판타지 웹소설 &gt; 퓨전 판타지</v>
      </c>
    </row>
    <row r="739" spans="1:48" x14ac:dyDescent="0.4">
      <c r="A739">
        <v>2313012849</v>
      </c>
      <c r="B739">
        <v>2313012938</v>
      </c>
      <c r="C739" t="str">
        <f>T("디버프 마스터 90화")</f>
        <v>디버프 마스터 90화</v>
      </c>
      <c r="D739" t="str">
        <f>T("90")</f>
        <v>90</v>
      </c>
      <c r="E739" t="str">
        <f t="shared" si="167"/>
        <v>담화공</v>
      </c>
      <c r="H739" t="str">
        <f t="shared" si="170"/>
        <v>스토리위즈</v>
      </c>
      <c r="I739" t="str">
        <f t="shared" si="168"/>
        <v>디버프 마스터</v>
      </c>
      <c r="J739">
        <v>100</v>
      </c>
      <c r="K739">
        <v>1300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1300</v>
      </c>
      <c r="AH739">
        <v>13</v>
      </c>
      <c r="AI739">
        <v>0</v>
      </c>
      <c r="AJ739">
        <v>0</v>
      </c>
      <c r="AK739">
        <v>1200</v>
      </c>
      <c r="AL739">
        <v>0</v>
      </c>
      <c r="AM739">
        <v>119.05</v>
      </c>
      <c r="AN739">
        <v>-35.72</v>
      </c>
      <c r="AO739">
        <v>0</v>
      </c>
      <c r="AP739">
        <v>898.33</v>
      </c>
      <c r="AT739" t="str">
        <f t="shared" si="169"/>
        <v>9791137602663</v>
      </c>
      <c r="AV739" t="str">
        <f t="shared" si="171"/>
        <v>판타지 웹소설 &gt; 퓨전 판타지</v>
      </c>
    </row>
    <row r="740" spans="1:48" x14ac:dyDescent="0.4">
      <c r="A740">
        <v>2313017657</v>
      </c>
      <c r="B740">
        <v>2313017779</v>
      </c>
      <c r="C740" t="str">
        <f>T("회귀자의 슬기로운 복수생활 123화")</f>
        <v>회귀자의 슬기로운 복수생활 123화</v>
      </c>
      <c r="D740" t="str">
        <f>T("123")</f>
        <v>123</v>
      </c>
      <c r="E740" t="str">
        <f>T("구공")</f>
        <v>구공</v>
      </c>
      <c r="H740" t="str">
        <f t="shared" si="170"/>
        <v>스토리위즈</v>
      </c>
      <c r="I740" t="str">
        <f>T("회귀자의 슬기로운 복수생활")</f>
        <v>회귀자의 슬기로운 복수생활</v>
      </c>
      <c r="J740">
        <v>100</v>
      </c>
      <c r="K740">
        <v>1300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1300</v>
      </c>
      <c r="AH740">
        <v>13</v>
      </c>
      <c r="AI740">
        <v>0</v>
      </c>
      <c r="AJ740">
        <v>0</v>
      </c>
      <c r="AK740">
        <v>1300</v>
      </c>
      <c r="AL740">
        <v>0</v>
      </c>
      <c r="AM740">
        <v>0</v>
      </c>
      <c r="AN740">
        <v>0</v>
      </c>
      <c r="AO740">
        <v>0</v>
      </c>
      <c r="AP740">
        <v>910</v>
      </c>
      <c r="AT740" t="str">
        <f>T("9791137601710")</f>
        <v>9791137601710</v>
      </c>
      <c r="AV740" t="str">
        <f t="shared" si="171"/>
        <v>판타지 웹소설 &gt; 퓨전 판타지</v>
      </c>
    </row>
    <row r="741" spans="1:48" x14ac:dyDescent="0.4">
      <c r="A741">
        <v>2313017657</v>
      </c>
      <c r="B741">
        <v>2313017780</v>
      </c>
      <c r="C741" t="str">
        <f>T("회귀자의 슬기로운 복수생활 124화")</f>
        <v>회귀자의 슬기로운 복수생활 124화</v>
      </c>
      <c r="D741" t="str">
        <f>T("124")</f>
        <v>124</v>
      </c>
      <c r="E741" t="str">
        <f>T("구공")</f>
        <v>구공</v>
      </c>
      <c r="H741" t="str">
        <f t="shared" si="170"/>
        <v>스토리위즈</v>
      </c>
      <c r="I741" t="str">
        <f>T("회귀자의 슬기로운 복수생활")</f>
        <v>회귀자의 슬기로운 복수생활</v>
      </c>
      <c r="J741">
        <v>100</v>
      </c>
      <c r="K741">
        <v>1300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1300</v>
      </c>
      <c r="AH741">
        <v>13</v>
      </c>
      <c r="AI741">
        <v>0</v>
      </c>
      <c r="AJ741">
        <v>0</v>
      </c>
      <c r="AK741">
        <v>1300</v>
      </c>
      <c r="AL741">
        <v>0</v>
      </c>
      <c r="AM741">
        <v>0</v>
      </c>
      <c r="AN741">
        <v>0</v>
      </c>
      <c r="AO741">
        <v>0</v>
      </c>
      <c r="AP741">
        <v>910</v>
      </c>
      <c r="AT741" t="str">
        <f>T("9791137601710")</f>
        <v>9791137601710</v>
      </c>
      <c r="AV741" t="str">
        <f t="shared" si="171"/>
        <v>판타지 웹소설 &gt; 퓨전 판타지</v>
      </c>
    </row>
    <row r="742" spans="1:48" x14ac:dyDescent="0.4">
      <c r="A742">
        <v>2313017657</v>
      </c>
      <c r="B742">
        <v>2313017781</v>
      </c>
      <c r="C742" t="str">
        <f>T("회귀자의 슬기로운 복수생활 125화")</f>
        <v>회귀자의 슬기로운 복수생활 125화</v>
      </c>
      <c r="D742" t="str">
        <f>T("125")</f>
        <v>125</v>
      </c>
      <c r="E742" t="str">
        <f>T("구공")</f>
        <v>구공</v>
      </c>
      <c r="H742" t="str">
        <f t="shared" si="170"/>
        <v>스토리위즈</v>
      </c>
      <c r="I742" t="str">
        <f>T("회귀자의 슬기로운 복수생활")</f>
        <v>회귀자의 슬기로운 복수생활</v>
      </c>
      <c r="J742">
        <v>100</v>
      </c>
      <c r="K742">
        <v>1300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1300</v>
      </c>
      <c r="AH742">
        <v>13</v>
      </c>
      <c r="AI742">
        <v>0</v>
      </c>
      <c r="AJ742">
        <v>0</v>
      </c>
      <c r="AK742">
        <v>1300</v>
      </c>
      <c r="AL742">
        <v>0</v>
      </c>
      <c r="AM742">
        <v>0</v>
      </c>
      <c r="AN742">
        <v>0</v>
      </c>
      <c r="AO742">
        <v>0</v>
      </c>
      <c r="AP742">
        <v>910</v>
      </c>
      <c r="AT742" t="str">
        <f>T("9791137601710")</f>
        <v>9791137601710</v>
      </c>
      <c r="AV742" t="str">
        <f t="shared" si="171"/>
        <v>판타지 웹소설 &gt; 퓨전 판타지</v>
      </c>
    </row>
    <row r="743" spans="1:48" x14ac:dyDescent="0.4">
      <c r="A743">
        <v>2313017657</v>
      </c>
      <c r="B743">
        <v>2313017849</v>
      </c>
      <c r="C743" t="str">
        <f>T("회귀자의 슬기로운 복수생활 193화")</f>
        <v>회귀자의 슬기로운 복수생활 193화</v>
      </c>
      <c r="D743" t="str">
        <f>T("193")</f>
        <v>193</v>
      </c>
      <c r="E743" t="str">
        <f>T("구공")</f>
        <v>구공</v>
      </c>
      <c r="H743" t="str">
        <f t="shared" si="170"/>
        <v>스토리위즈</v>
      </c>
      <c r="I743" t="str">
        <f>T("회귀자의 슬기로운 복수생활")</f>
        <v>회귀자의 슬기로운 복수생활</v>
      </c>
      <c r="J743">
        <v>100</v>
      </c>
      <c r="K743">
        <v>1300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1300</v>
      </c>
      <c r="AH743">
        <v>13</v>
      </c>
      <c r="AI743">
        <v>0</v>
      </c>
      <c r="AJ743">
        <v>0</v>
      </c>
      <c r="AK743">
        <v>1300</v>
      </c>
      <c r="AL743">
        <v>0</v>
      </c>
      <c r="AM743">
        <v>0</v>
      </c>
      <c r="AN743">
        <v>0</v>
      </c>
      <c r="AO743">
        <v>0</v>
      </c>
      <c r="AP743">
        <v>910</v>
      </c>
      <c r="AT743" t="str">
        <f>T("9791137601710")</f>
        <v>9791137601710</v>
      </c>
      <c r="AV743" t="str">
        <f t="shared" si="171"/>
        <v>판타지 웹소설 &gt; 퓨전 판타지</v>
      </c>
    </row>
    <row r="744" spans="1:48" x14ac:dyDescent="0.4">
      <c r="A744">
        <v>2313017657</v>
      </c>
      <c r="B744">
        <v>2313017853</v>
      </c>
      <c r="C744" t="str">
        <f>T("회귀자의 슬기로운 복수생활 197화")</f>
        <v>회귀자의 슬기로운 복수생활 197화</v>
      </c>
      <c r="D744" t="str">
        <f>T("197")</f>
        <v>197</v>
      </c>
      <c r="E744" t="str">
        <f>T("구공")</f>
        <v>구공</v>
      </c>
      <c r="H744" t="str">
        <f t="shared" si="170"/>
        <v>스토리위즈</v>
      </c>
      <c r="I744" t="str">
        <f>T("회귀자의 슬기로운 복수생활")</f>
        <v>회귀자의 슬기로운 복수생활</v>
      </c>
      <c r="J744">
        <v>100</v>
      </c>
      <c r="K744">
        <v>1300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1300</v>
      </c>
      <c r="AH744">
        <v>13</v>
      </c>
      <c r="AI744">
        <v>0</v>
      </c>
      <c r="AJ744">
        <v>0</v>
      </c>
      <c r="AK744">
        <v>1300</v>
      </c>
      <c r="AL744">
        <v>0</v>
      </c>
      <c r="AM744">
        <v>0</v>
      </c>
      <c r="AN744">
        <v>0</v>
      </c>
      <c r="AO744">
        <v>0</v>
      </c>
      <c r="AP744">
        <v>910</v>
      </c>
      <c r="AT744" t="str">
        <f>T("9791137601710")</f>
        <v>9791137601710</v>
      </c>
      <c r="AV744" t="str">
        <f t="shared" si="171"/>
        <v>판타지 웹소설 &gt; 퓨전 판타지</v>
      </c>
    </row>
    <row r="745" spans="1:48" x14ac:dyDescent="0.4">
      <c r="A745">
        <v>2313007845</v>
      </c>
      <c r="B745">
        <v>2313007998</v>
      </c>
      <c r="C745" t="str">
        <f>T("간신이 나라를 살림 154화")</f>
        <v>간신이 나라를 살림 154화</v>
      </c>
      <c r="D745" t="str">
        <f>T("154")</f>
        <v>154</v>
      </c>
      <c r="E745" t="str">
        <f t="shared" ref="E745:E771" si="172">T("루이세")</f>
        <v>루이세</v>
      </c>
      <c r="H745" t="str">
        <f t="shared" si="170"/>
        <v>스토리위즈</v>
      </c>
      <c r="I745" t="str">
        <f t="shared" ref="I745:I771" si="173">T("간신이 나라를 살림")</f>
        <v>간신이 나라를 살림</v>
      </c>
      <c r="J745">
        <v>100</v>
      </c>
      <c r="K745">
        <v>1200</v>
      </c>
      <c r="L745">
        <v>12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1200</v>
      </c>
      <c r="AH745">
        <v>12</v>
      </c>
      <c r="AI745">
        <v>0</v>
      </c>
      <c r="AJ745">
        <v>0</v>
      </c>
      <c r="AK745">
        <v>1200</v>
      </c>
      <c r="AL745">
        <v>0</v>
      </c>
      <c r="AM745">
        <v>0</v>
      </c>
      <c r="AN745">
        <v>0</v>
      </c>
      <c r="AO745">
        <v>0</v>
      </c>
      <c r="AP745">
        <v>840</v>
      </c>
      <c r="AT745" t="str">
        <f t="shared" ref="AT745:AT771" si="174">T("9791159284663")</f>
        <v>9791159284663</v>
      </c>
      <c r="AV745" t="str">
        <f t="shared" si="171"/>
        <v>판타지 웹소설 &gt; 퓨전 판타지</v>
      </c>
    </row>
    <row r="746" spans="1:48" x14ac:dyDescent="0.4">
      <c r="A746">
        <v>2313007845</v>
      </c>
      <c r="B746">
        <v>2313008000</v>
      </c>
      <c r="C746" t="str">
        <f>T("간신이 나라를 살림 156화")</f>
        <v>간신이 나라를 살림 156화</v>
      </c>
      <c r="D746" t="str">
        <f>T("156")</f>
        <v>156</v>
      </c>
      <c r="E746" t="str">
        <f t="shared" si="172"/>
        <v>루이세</v>
      </c>
      <c r="H746" t="str">
        <f t="shared" si="170"/>
        <v>스토리위즈</v>
      </c>
      <c r="I746" t="str">
        <f t="shared" si="173"/>
        <v>간신이 나라를 살림</v>
      </c>
      <c r="J746">
        <v>100</v>
      </c>
      <c r="K746">
        <v>1200</v>
      </c>
      <c r="L746">
        <v>12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1200</v>
      </c>
      <c r="AH746">
        <v>12</v>
      </c>
      <c r="AI746">
        <v>0</v>
      </c>
      <c r="AJ746">
        <v>0</v>
      </c>
      <c r="AK746">
        <v>1200</v>
      </c>
      <c r="AL746">
        <v>0</v>
      </c>
      <c r="AM746">
        <v>0</v>
      </c>
      <c r="AN746">
        <v>0</v>
      </c>
      <c r="AO746">
        <v>0</v>
      </c>
      <c r="AP746">
        <v>840</v>
      </c>
      <c r="AT746" t="str">
        <f t="shared" si="174"/>
        <v>9791159284663</v>
      </c>
      <c r="AV746" t="str">
        <f t="shared" si="171"/>
        <v>판타지 웹소설 &gt; 퓨전 판타지</v>
      </c>
    </row>
    <row r="747" spans="1:48" x14ac:dyDescent="0.4">
      <c r="A747">
        <v>2313007845</v>
      </c>
      <c r="B747">
        <v>2313008001</v>
      </c>
      <c r="C747" t="str">
        <f>T("간신이 나라를 살림 157화")</f>
        <v>간신이 나라를 살림 157화</v>
      </c>
      <c r="D747" t="str">
        <f>T("157")</f>
        <v>157</v>
      </c>
      <c r="E747" t="str">
        <f t="shared" si="172"/>
        <v>루이세</v>
      </c>
      <c r="H747" t="str">
        <f t="shared" si="170"/>
        <v>스토리위즈</v>
      </c>
      <c r="I747" t="str">
        <f t="shared" si="173"/>
        <v>간신이 나라를 살림</v>
      </c>
      <c r="J747">
        <v>100</v>
      </c>
      <c r="K747">
        <v>1200</v>
      </c>
      <c r="L747">
        <v>12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1200</v>
      </c>
      <c r="AH747">
        <v>12</v>
      </c>
      <c r="AI747">
        <v>0</v>
      </c>
      <c r="AJ747">
        <v>0</v>
      </c>
      <c r="AK747">
        <v>1200</v>
      </c>
      <c r="AL747">
        <v>0</v>
      </c>
      <c r="AM747">
        <v>0</v>
      </c>
      <c r="AN747">
        <v>0</v>
      </c>
      <c r="AO747">
        <v>0</v>
      </c>
      <c r="AP747">
        <v>840</v>
      </c>
      <c r="AT747" t="str">
        <f t="shared" si="174"/>
        <v>9791159284663</v>
      </c>
      <c r="AV747" t="str">
        <f t="shared" si="171"/>
        <v>판타지 웹소설 &gt; 퓨전 판타지</v>
      </c>
    </row>
    <row r="748" spans="1:48" x14ac:dyDescent="0.4">
      <c r="A748">
        <v>2313007845</v>
      </c>
      <c r="B748">
        <v>2313008002</v>
      </c>
      <c r="C748" t="str">
        <f>T("간신이 나라를 살림 158화")</f>
        <v>간신이 나라를 살림 158화</v>
      </c>
      <c r="D748" t="str">
        <f>T("158")</f>
        <v>158</v>
      </c>
      <c r="E748" t="str">
        <f t="shared" si="172"/>
        <v>루이세</v>
      </c>
      <c r="H748" t="str">
        <f t="shared" si="170"/>
        <v>스토리위즈</v>
      </c>
      <c r="I748" t="str">
        <f t="shared" si="173"/>
        <v>간신이 나라를 살림</v>
      </c>
      <c r="J748">
        <v>100</v>
      </c>
      <c r="K748">
        <v>1200</v>
      </c>
      <c r="L748">
        <v>12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1200</v>
      </c>
      <c r="AH748">
        <v>12</v>
      </c>
      <c r="AI748">
        <v>0</v>
      </c>
      <c r="AJ748">
        <v>0</v>
      </c>
      <c r="AK748">
        <v>1200</v>
      </c>
      <c r="AL748">
        <v>0</v>
      </c>
      <c r="AM748">
        <v>0</v>
      </c>
      <c r="AN748">
        <v>0</v>
      </c>
      <c r="AO748">
        <v>0</v>
      </c>
      <c r="AP748">
        <v>840</v>
      </c>
      <c r="AT748" t="str">
        <f t="shared" si="174"/>
        <v>9791159284663</v>
      </c>
      <c r="AV748" t="str">
        <f t="shared" si="171"/>
        <v>판타지 웹소설 &gt; 퓨전 판타지</v>
      </c>
    </row>
    <row r="749" spans="1:48" x14ac:dyDescent="0.4">
      <c r="A749">
        <v>2313007845</v>
      </c>
      <c r="B749">
        <v>2313008003</v>
      </c>
      <c r="C749" t="str">
        <f>T("간신이 나라를 살림 159화")</f>
        <v>간신이 나라를 살림 159화</v>
      </c>
      <c r="D749" t="str">
        <f>T("159")</f>
        <v>159</v>
      </c>
      <c r="E749" t="str">
        <f t="shared" si="172"/>
        <v>루이세</v>
      </c>
      <c r="H749" t="str">
        <f t="shared" si="170"/>
        <v>스토리위즈</v>
      </c>
      <c r="I749" t="str">
        <f t="shared" si="173"/>
        <v>간신이 나라를 살림</v>
      </c>
      <c r="J749">
        <v>100</v>
      </c>
      <c r="K749">
        <v>1200</v>
      </c>
      <c r="L749">
        <v>12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1200</v>
      </c>
      <c r="AH749">
        <v>12</v>
      </c>
      <c r="AI749">
        <v>0</v>
      </c>
      <c r="AJ749">
        <v>0</v>
      </c>
      <c r="AK749">
        <v>1200</v>
      </c>
      <c r="AL749">
        <v>0</v>
      </c>
      <c r="AM749">
        <v>0</v>
      </c>
      <c r="AN749">
        <v>0</v>
      </c>
      <c r="AO749">
        <v>0</v>
      </c>
      <c r="AP749">
        <v>840</v>
      </c>
      <c r="AT749" t="str">
        <f t="shared" si="174"/>
        <v>9791159284663</v>
      </c>
      <c r="AV749" t="str">
        <f t="shared" si="171"/>
        <v>판타지 웹소설 &gt; 퓨전 판타지</v>
      </c>
    </row>
    <row r="750" spans="1:48" x14ac:dyDescent="0.4">
      <c r="A750">
        <v>2313007845</v>
      </c>
      <c r="B750">
        <v>2313008004</v>
      </c>
      <c r="C750" t="str">
        <f>T("간신이 나라를 살림 160화")</f>
        <v>간신이 나라를 살림 160화</v>
      </c>
      <c r="D750" t="str">
        <f>T("160")</f>
        <v>160</v>
      </c>
      <c r="E750" t="str">
        <f t="shared" si="172"/>
        <v>루이세</v>
      </c>
      <c r="H750" t="str">
        <f t="shared" si="170"/>
        <v>스토리위즈</v>
      </c>
      <c r="I750" t="str">
        <f t="shared" si="173"/>
        <v>간신이 나라를 살림</v>
      </c>
      <c r="J750">
        <v>100</v>
      </c>
      <c r="K750">
        <v>1200</v>
      </c>
      <c r="L750">
        <v>12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1200</v>
      </c>
      <c r="AH750">
        <v>12</v>
      </c>
      <c r="AI750">
        <v>0</v>
      </c>
      <c r="AJ750">
        <v>0</v>
      </c>
      <c r="AK750">
        <v>1200</v>
      </c>
      <c r="AL750">
        <v>0</v>
      </c>
      <c r="AM750">
        <v>0</v>
      </c>
      <c r="AN750">
        <v>0</v>
      </c>
      <c r="AO750">
        <v>0</v>
      </c>
      <c r="AP750">
        <v>840</v>
      </c>
      <c r="AT750" t="str">
        <f t="shared" si="174"/>
        <v>9791159284663</v>
      </c>
      <c r="AV750" t="str">
        <f t="shared" si="171"/>
        <v>판타지 웹소설 &gt; 퓨전 판타지</v>
      </c>
    </row>
    <row r="751" spans="1:48" x14ac:dyDescent="0.4">
      <c r="A751">
        <v>2313007845</v>
      </c>
      <c r="B751">
        <v>2313008005</v>
      </c>
      <c r="C751" t="str">
        <f>T("간신이 나라를 살림 161화")</f>
        <v>간신이 나라를 살림 161화</v>
      </c>
      <c r="D751" t="str">
        <f>T("161")</f>
        <v>161</v>
      </c>
      <c r="E751" t="str">
        <f t="shared" si="172"/>
        <v>루이세</v>
      </c>
      <c r="H751" t="str">
        <f t="shared" si="170"/>
        <v>스토리위즈</v>
      </c>
      <c r="I751" t="str">
        <f t="shared" si="173"/>
        <v>간신이 나라를 살림</v>
      </c>
      <c r="J751">
        <v>100</v>
      </c>
      <c r="K751">
        <v>1200</v>
      </c>
      <c r="L751">
        <v>12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1200</v>
      </c>
      <c r="AH751">
        <v>12</v>
      </c>
      <c r="AI751">
        <v>0</v>
      </c>
      <c r="AJ751">
        <v>0</v>
      </c>
      <c r="AK751">
        <v>1200</v>
      </c>
      <c r="AL751">
        <v>0</v>
      </c>
      <c r="AM751">
        <v>0</v>
      </c>
      <c r="AN751">
        <v>0</v>
      </c>
      <c r="AO751">
        <v>0</v>
      </c>
      <c r="AP751">
        <v>840</v>
      </c>
      <c r="AT751" t="str">
        <f t="shared" si="174"/>
        <v>9791159284663</v>
      </c>
      <c r="AV751" t="str">
        <f t="shared" si="171"/>
        <v>판타지 웹소설 &gt; 퓨전 판타지</v>
      </c>
    </row>
    <row r="752" spans="1:48" x14ac:dyDescent="0.4">
      <c r="A752">
        <v>2313007845</v>
      </c>
      <c r="B752">
        <v>2313008006</v>
      </c>
      <c r="C752" t="str">
        <f>T("간신이 나라를 살림 162화")</f>
        <v>간신이 나라를 살림 162화</v>
      </c>
      <c r="D752" t="str">
        <f>T("162")</f>
        <v>162</v>
      </c>
      <c r="E752" t="str">
        <f t="shared" si="172"/>
        <v>루이세</v>
      </c>
      <c r="H752" t="str">
        <f t="shared" si="170"/>
        <v>스토리위즈</v>
      </c>
      <c r="I752" t="str">
        <f t="shared" si="173"/>
        <v>간신이 나라를 살림</v>
      </c>
      <c r="J752">
        <v>100</v>
      </c>
      <c r="K752">
        <v>1200</v>
      </c>
      <c r="L752">
        <v>12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1200</v>
      </c>
      <c r="AH752">
        <v>12</v>
      </c>
      <c r="AI752">
        <v>0</v>
      </c>
      <c r="AJ752">
        <v>0</v>
      </c>
      <c r="AK752">
        <v>1200</v>
      </c>
      <c r="AL752">
        <v>0</v>
      </c>
      <c r="AM752">
        <v>0</v>
      </c>
      <c r="AN752">
        <v>0</v>
      </c>
      <c r="AO752">
        <v>0</v>
      </c>
      <c r="AP752">
        <v>840</v>
      </c>
      <c r="AT752" t="str">
        <f t="shared" si="174"/>
        <v>9791159284663</v>
      </c>
      <c r="AV752" t="str">
        <f t="shared" si="171"/>
        <v>판타지 웹소설 &gt; 퓨전 판타지</v>
      </c>
    </row>
    <row r="753" spans="1:48" x14ac:dyDescent="0.4">
      <c r="A753">
        <v>2313007845</v>
      </c>
      <c r="B753">
        <v>2313008007</v>
      </c>
      <c r="C753" t="str">
        <f>T("간신이 나라를 살림 163화")</f>
        <v>간신이 나라를 살림 163화</v>
      </c>
      <c r="D753" t="str">
        <f>T("163")</f>
        <v>163</v>
      </c>
      <c r="E753" t="str">
        <f t="shared" si="172"/>
        <v>루이세</v>
      </c>
      <c r="H753" t="str">
        <f t="shared" si="170"/>
        <v>스토리위즈</v>
      </c>
      <c r="I753" t="str">
        <f t="shared" si="173"/>
        <v>간신이 나라를 살림</v>
      </c>
      <c r="J753">
        <v>100</v>
      </c>
      <c r="K753">
        <v>1200</v>
      </c>
      <c r="L753">
        <v>12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1200</v>
      </c>
      <c r="AH753">
        <v>12</v>
      </c>
      <c r="AI753">
        <v>0</v>
      </c>
      <c r="AJ753">
        <v>0</v>
      </c>
      <c r="AK753">
        <v>1200</v>
      </c>
      <c r="AL753">
        <v>0</v>
      </c>
      <c r="AM753">
        <v>0</v>
      </c>
      <c r="AN753">
        <v>0</v>
      </c>
      <c r="AO753">
        <v>0</v>
      </c>
      <c r="AP753">
        <v>840</v>
      </c>
      <c r="AT753" t="str">
        <f t="shared" si="174"/>
        <v>9791159284663</v>
      </c>
      <c r="AV753" t="str">
        <f t="shared" si="171"/>
        <v>판타지 웹소설 &gt; 퓨전 판타지</v>
      </c>
    </row>
    <row r="754" spans="1:48" x14ac:dyDescent="0.4">
      <c r="A754">
        <v>2313007845</v>
      </c>
      <c r="B754">
        <v>2313008008</v>
      </c>
      <c r="C754" t="str">
        <f>T("간신이 나라를 살림 164화")</f>
        <v>간신이 나라를 살림 164화</v>
      </c>
      <c r="D754" t="str">
        <f>T("164")</f>
        <v>164</v>
      </c>
      <c r="E754" t="str">
        <f t="shared" si="172"/>
        <v>루이세</v>
      </c>
      <c r="H754" t="str">
        <f t="shared" si="170"/>
        <v>스토리위즈</v>
      </c>
      <c r="I754" t="str">
        <f t="shared" si="173"/>
        <v>간신이 나라를 살림</v>
      </c>
      <c r="J754">
        <v>100</v>
      </c>
      <c r="K754">
        <v>1200</v>
      </c>
      <c r="L754">
        <v>12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1200</v>
      </c>
      <c r="AH754">
        <v>12</v>
      </c>
      <c r="AI754">
        <v>0</v>
      </c>
      <c r="AJ754">
        <v>0</v>
      </c>
      <c r="AK754">
        <v>1200</v>
      </c>
      <c r="AL754">
        <v>0</v>
      </c>
      <c r="AM754">
        <v>0</v>
      </c>
      <c r="AN754">
        <v>0</v>
      </c>
      <c r="AO754">
        <v>0</v>
      </c>
      <c r="AP754">
        <v>840</v>
      </c>
      <c r="AT754" t="str">
        <f t="shared" si="174"/>
        <v>9791159284663</v>
      </c>
      <c r="AV754" t="str">
        <f t="shared" si="171"/>
        <v>판타지 웹소설 &gt; 퓨전 판타지</v>
      </c>
    </row>
    <row r="755" spans="1:48" x14ac:dyDescent="0.4">
      <c r="A755">
        <v>2313007845</v>
      </c>
      <c r="B755">
        <v>2313008009</v>
      </c>
      <c r="C755" t="str">
        <f>T("간신이 나라를 살림 165화")</f>
        <v>간신이 나라를 살림 165화</v>
      </c>
      <c r="D755" t="str">
        <f>T("165")</f>
        <v>165</v>
      </c>
      <c r="E755" t="str">
        <f t="shared" si="172"/>
        <v>루이세</v>
      </c>
      <c r="H755" t="str">
        <f t="shared" si="170"/>
        <v>스토리위즈</v>
      </c>
      <c r="I755" t="str">
        <f t="shared" si="173"/>
        <v>간신이 나라를 살림</v>
      </c>
      <c r="J755">
        <v>100</v>
      </c>
      <c r="K755">
        <v>1200</v>
      </c>
      <c r="L755">
        <v>12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1200</v>
      </c>
      <c r="AH755">
        <v>12</v>
      </c>
      <c r="AI755">
        <v>0</v>
      </c>
      <c r="AJ755">
        <v>0</v>
      </c>
      <c r="AK755">
        <v>1200</v>
      </c>
      <c r="AL755">
        <v>0</v>
      </c>
      <c r="AM755">
        <v>0</v>
      </c>
      <c r="AN755">
        <v>0</v>
      </c>
      <c r="AO755">
        <v>0</v>
      </c>
      <c r="AP755">
        <v>840</v>
      </c>
      <c r="AT755" t="str">
        <f t="shared" si="174"/>
        <v>9791159284663</v>
      </c>
      <c r="AV755" t="str">
        <f t="shared" si="171"/>
        <v>판타지 웹소설 &gt; 퓨전 판타지</v>
      </c>
    </row>
    <row r="756" spans="1:48" x14ac:dyDescent="0.4">
      <c r="A756">
        <v>2313007845</v>
      </c>
      <c r="B756">
        <v>2313008010</v>
      </c>
      <c r="C756" t="str">
        <f>T("간신이 나라를 살림 166화")</f>
        <v>간신이 나라를 살림 166화</v>
      </c>
      <c r="D756" t="str">
        <f>T("166")</f>
        <v>166</v>
      </c>
      <c r="E756" t="str">
        <f t="shared" si="172"/>
        <v>루이세</v>
      </c>
      <c r="H756" t="str">
        <f t="shared" si="170"/>
        <v>스토리위즈</v>
      </c>
      <c r="I756" t="str">
        <f t="shared" si="173"/>
        <v>간신이 나라를 살림</v>
      </c>
      <c r="J756">
        <v>100</v>
      </c>
      <c r="K756">
        <v>1200</v>
      </c>
      <c r="L756">
        <v>12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1200</v>
      </c>
      <c r="AH756">
        <v>12</v>
      </c>
      <c r="AI756">
        <v>0</v>
      </c>
      <c r="AJ756">
        <v>0</v>
      </c>
      <c r="AK756">
        <v>1200</v>
      </c>
      <c r="AL756">
        <v>0</v>
      </c>
      <c r="AM756">
        <v>0</v>
      </c>
      <c r="AN756">
        <v>0</v>
      </c>
      <c r="AO756">
        <v>0</v>
      </c>
      <c r="AP756">
        <v>840</v>
      </c>
      <c r="AT756" t="str">
        <f t="shared" si="174"/>
        <v>9791159284663</v>
      </c>
      <c r="AV756" t="str">
        <f t="shared" si="171"/>
        <v>판타지 웹소설 &gt; 퓨전 판타지</v>
      </c>
    </row>
    <row r="757" spans="1:48" x14ac:dyDescent="0.4">
      <c r="A757">
        <v>2313007845</v>
      </c>
      <c r="B757">
        <v>2313008011</v>
      </c>
      <c r="C757" t="str">
        <f>T("간신이 나라를 살림 167화")</f>
        <v>간신이 나라를 살림 167화</v>
      </c>
      <c r="D757" t="str">
        <f>T("167")</f>
        <v>167</v>
      </c>
      <c r="E757" t="str">
        <f t="shared" si="172"/>
        <v>루이세</v>
      </c>
      <c r="H757" t="str">
        <f t="shared" si="170"/>
        <v>스토리위즈</v>
      </c>
      <c r="I757" t="str">
        <f t="shared" si="173"/>
        <v>간신이 나라를 살림</v>
      </c>
      <c r="J757">
        <v>100</v>
      </c>
      <c r="K757">
        <v>1200</v>
      </c>
      <c r="L757">
        <v>12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1200</v>
      </c>
      <c r="AH757">
        <v>12</v>
      </c>
      <c r="AI757">
        <v>0</v>
      </c>
      <c r="AJ757">
        <v>0</v>
      </c>
      <c r="AK757">
        <v>1200</v>
      </c>
      <c r="AL757">
        <v>0</v>
      </c>
      <c r="AM757">
        <v>0</v>
      </c>
      <c r="AN757">
        <v>0</v>
      </c>
      <c r="AO757">
        <v>0</v>
      </c>
      <c r="AP757">
        <v>840</v>
      </c>
      <c r="AT757" t="str">
        <f t="shared" si="174"/>
        <v>9791159284663</v>
      </c>
      <c r="AV757" t="str">
        <f t="shared" si="171"/>
        <v>판타지 웹소설 &gt; 퓨전 판타지</v>
      </c>
    </row>
    <row r="758" spans="1:48" x14ac:dyDescent="0.4">
      <c r="A758">
        <v>2313007845</v>
      </c>
      <c r="B758">
        <v>2313008012</v>
      </c>
      <c r="C758" t="str">
        <f>T("간신이 나라를 살림 168화")</f>
        <v>간신이 나라를 살림 168화</v>
      </c>
      <c r="D758" t="str">
        <f>T("168")</f>
        <v>168</v>
      </c>
      <c r="E758" t="str">
        <f t="shared" si="172"/>
        <v>루이세</v>
      </c>
      <c r="H758" t="str">
        <f t="shared" si="170"/>
        <v>스토리위즈</v>
      </c>
      <c r="I758" t="str">
        <f t="shared" si="173"/>
        <v>간신이 나라를 살림</v>
      </c>
      <c r="J758">
        <v>100</v>
      </c>
      <c r="K758">
        <v>1200</v>
      </c>
      <c r="L758">
        <v>12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1200</v>
      </c>
      <c r="AH758">
        <v>12</v>
      </c>
      <c r="AI758">
        <v>0</v>
      </c>
      <c r="AJ758">
        <v>0</v>
      </c>
      <c r="AK758">
        <v>1200</v>
      </c>
      <c r="AL758">
        <v>0</v>
      </c>
      <c r="AM758">
        <v>0</v>
      </c>
      <c r="AN758">
        <v>0</v>
      </c>
      <c r="AO758">
        <v>0</v>
      </c>
      <c r="AP758">
        <v>840</v>
      </c>
      <c r="AT758" t="str">
        <f t="shared" si="174"/>
        <v>9791159284663</v>
      </c>
      <c r="AV758" t="str">
        <f t="shared" si="171"/>
        <v>판타지 웹소설 &gt; 퓨전 판타지</v>
      </c>
    </row>
    <row r="759" spans="1:48" x14ac:dyDescent="0.4">
      <c r="A759">
        <v>2313007845</v>
      </c>
      <c r="B759">
        <v>2313008013</v>
      </c>
      <c r="C759" t="str">
        <f>T("간신이 나라를 살림 169화")</f>
        <v>간신이 나라를 살림 169화</v>
      </c>
      <c r="D759" t="str">
        <f>T("169")</f>
        <v>169</v>
      </c>
      <c r="E759" t="str">
        <f t="shared" si="172"/>
        <v>루이세</v>
      </c>
      <c r="H759" t="str">
        <f t="shared" si="170"/>
        <v>스토리위즈</v>
      </c>
      <c r="I759" t="str">
        <f t="shared" si="173"/>
        <v>간신이 나라를 살림</v>
      </c>
      <c r="J759">
        <v>100</v>
      </c>
      <c r="K759">
        <v>1200</v>
      </c>
      <c r="L759">
        <v>12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1200</v>
      </c>
      <c r="AH759">
        <v>12</v>
      </c>
      <c r="AI759">
        <v>0</v>
      </c>
      <c r="AJ759">
        <v>0</v>
      </c>
      <c r="AK759">
        <v>1200</v>
      </c>
      <c r="AL759">
        <v>0</v>
      </c>
      <c r="AM759">
        <v>0</v>
      </c>
      <c r="AN759">
        <v>0</v>
      </c>
      <c r="AO759">
        <v>0</v>
      </c>
      <c r="AP759">
        <v>840</v>
      </c>
      <c r="AT759" t="str">
        <f t="shared" si="174"/>
        <v>9791159284663</v>
      </c>
      <c r="AV759" t="str">
        <f t="shared" si="171"/>
        <v>판타지 웹소설 &gt; 퓨전 판타지</v>
      </c>
    </row>
    <row r="760" spans="1:48" x14ac:dyDescent="0.4">
      <c r="A760">
        <v>2313007845</v>
      </c>
      <c r="B760">
        <v>2313008014</v>
      </c>
      <c r="C760" t="str">
        <f>T("간신이 나라를 살림 170화")</f>
        <v>간신이 나라를 살림 170화</v>
      </c>
      <c r="D760" t="str">
        <f>T("170")</f>
        <v>170</v>
      </c>
      <c r="E760" t="str">
        <f t="shared" si="172"/>
        <v>루이세</v>
      </c>
      <c r="H760" t="str">
        <f t="shared" si="170"/>
        <v>스토리위즈</v>
      </c>
      <c r="I760" t="str">
        <f t="shared" si="173"/>
        <v>간신이 나라를 살림</v>
      </c>
      <c r="J760">
        <v>100</v>
      </c>
      <c r="K760">
        <v>1200</v>
      </c>
      <c r="L760">
        <v>12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1200</v>
      </c>
      <c r="AH760">
        <v>12</v>
      </c>
      <c r="AI760">
        <v>0</v>
      </c>
      <c r="AJ760">
        <v>0</v>
      </c>
      <c r="AK760">
        <v>1200</v>
      </c>
      <c r="AL760">
        <v>0</v>
      </c>
      <c r="AM760">
        <v>0</v>
      </c>
      <c r="AN760">
        <v>0</v>
      </c>
      <c r="AO760">
        <v>0</v>
      </c>
      <c r="AP760">
        <v>840</v>
      </c>
      <c r="AT760" t="str">
        <f t="shared" si="174"/>
        <v>9791159284663</v>
      </c>
      <c r="AV760" t="str">
        <f t="shared" si="171"/>
        <v>판타지 웹소설 &gt; 퓨전 판타지</v>
      </c>
    </row>
    <row r="761" spans="1:48" x14ac:dyDescent="0.4">
      <c r="A761">
        <v>2313007845</v>
      </c>
      <c r="B761">
        <v>2313008015</v>
      </c>
      <c r="C761" t="str">
        <f>T("간신이 나라를 살림 171화")</f>
        <v>간신이 나라를 살림 171화</v>
      </c>
      <c r="D761" t="str">
        <f>T("171")</f>
        <v>171</v>
      </c>
      <c r="E761" t="str">
        <f t="shared" si="172"/>
        <v>루이세</v>
      </c>
      <c r="H761" t="str">
        <f t="shared" si="170"/>
        <v>스토리위즈</v>
      </c>
      <c r="I761" t="str">
        <f t="shared" si="173"/>
        <v>간신이 나라를 살림</v>
      </c>
      <c r="J761">
        <v>100</v>
      </c>
      <c r="K761">
        <v>1200</v>
      </c>
      <c r="L761">
        <v>12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1200</v>
      </c>
      <c r="AH761">
        <v>12</v>
      </c>
      <c r="AI761">
        <v>0</v>
      </c>
      <c r="AJ761">
        <v>0</v>
      </c>
      <c r="AK761">
        <v>1200</v>
      </c>
      <c r="AL761">
        <v>0</v>
      </c>
      <c r="AM761">
        <v>0</v>
      </c>
      <c r="AN761">
        <v>0</v>
      </c>
      <c r="AO761">
        <v>0</v>
      </c>
      <c r="AP761">
        <v>840</v>
      </c>
      <c r="AT761" t="str">
        <f t="shared" si="174"/>
        <v>9791159284663</v>
      </c>
      <c r="AV761" t="str">
        <f t="shared" si="171"/>
        <v>판타지 웹소설 &gt; 퓨전 판타지</v>
      </c>
    </row>
    <row r="762" spans="1:48" x14ac:dyDescent="0.4">
      <c r="A762">
        <v>2313007845</v>
      </c>
      <c r="B762">
        <v>2313008016</v>
      </c>
      <c r="C762" t="str">
        <f>T("간신이 나라를 살림 172화")</f>
        <v>간신이 나라를 살림 172화</v>
      </c>
      <c r="D762" t="str">
        <f>T("172")</f>
        <v>172</v>
      </c>
      <c r="E762" t="str">
        <f t="shared" si="172"/>
        <v>루이세</v>
      </c>
      <c r="H762" t="str">
        <f t="shared" si="170"/>
        <v>스토리위즈</v>
      </c>
      <c r="I762" t="str">
        <f t="shared" si="173"/>
        <v>간신이 나라를 살림</v>
      </c>
      <c r="J762">
        <v>100</v>
      </c>
      <c r="K762">
        <v>1200</v>
      </c>
      <c r="L762">
        <v>12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1200</v>
      </c>
      <c r="AH762">
        <v>12</v>
      </c>
      <c r="AI762">
        <v>0</v>
      </c>
      <c r="AJ762">
        <v>0</v>
      </c>
      <c r="AK762">
        <v>1200</v>
      </c>
      <c r="AL762">
        <v>0</v>
      </c>
      <c r="AM762">
        <v>0</v>
      </c>
      <c r="AN762">
        <v>0</v>
      </c>
      <c r="AO762">
        <v>0</v>
      </c>
      <c r="AP762">
        <v>840</v>
      </c>
      <c r="AT762" t="str">
        <f t="shared" si="174"/>
        <v>9791159284663</v>
      </c>
      <c r="AV762" t="str">
        <f t="shared" si="171"/>
        <v>판타지 웹소설 &gt; 퓨전 판타지</v>
      </c>
    </row>
    <row r="763" spans="1:48" x14ac:dyDescent="0.4">
      <c r="A763">
        <v>2313007845</v>
      </c>
      <c r="B763">
        <v>2313008017</v>
      </c>
      <c r="C763" t="str">
        <f>T("간신이 나라를 살림 173화")</f>
        <v>간신이 나라를 살림 173화</v>
      </c>
      <c r="D763" t="str">
        <f>T("173")</f>
        <v>173</v>
      </c>
      <c r="E763" t="str">
        <f t="shared" si="172"/>
        <v>루이세</v>
      </c>
      <c r="H763" t="str">
        <f t="shared" si="170"/>
        <v>스토리위즈</v>
      </c>
      <c r="I763" t="str">
        <f t="shared" si="173"/>
        <v>간신이 나라를 살림</v>
      </c>
      <c r="J763">
        <v>100</v>
      </c>
      <c r="K763">
        <v>1200</v>
      </c>
      <c r="L763">
        <v>12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1200</v>
      </c>
      <c r="AH763">
        <v>12</v>
      </c>
      <c r="AI763">
        <v>0</v>
      </c>
      <c r="AJ763">
        <v>0</v>
      </c>
      <c r="AK763">
        <v>1200</v>
      </c>
      <c r="AL763">
        <v>0</v>
      </c>
      <c r="AM763">
        <v>0</v>
      </c>
      <c r="AN763">
        <v>0</v>
      </c>
      <c r="AO763">
        <v>0</v>
      </c>
      <c r="AP763">
        <v>840</v>
      </c>
      <c r="AT763" t="str">
        <f t="shared" si="174"/>
        <v>9791159284663</v>
      </c>
      <c r="AV763" t="str">
        <f t="shared" si="171"/>
        <v>판타지 웹소설 &gt; 퓨전 판타지</v>
      </c>
    </row>
    <row r="764" spans="1:48" x14ac:dyDescent="0.4">
      <c r="A764">
        <v>2313007845</v>
      </c>
      <c r="B764">
        <v>2313008018</v>
      </c>
      <c r="C764" t="str">
        <f>T("간신이 나라를 살림 174화")</f>
        <v>간신이 나라를 살림 174화</v>
      </c>
      <c r="D764" t="str">
        <f>T("174")</f>
        <v>174</v>
      </c>
      <c r="E764" t="str">
        <f t="shared" si="172"/>
        <v>루이세</v>
      </c>
      <c r="H764" t="str">
        <f t="shared" si="170"/>
        <v>스토리위즈</v>
      </c>
      <c r="I764" t="str">
        <f t="shared" si="173"/>
        <v>간신이 나라를 살림</v>
      </c>
      <c r="J764">
        <v>100</v>
      </c>
      <c r="K764">
        <v>1200</v>
      </c>
      <c r="L764">
        <v>12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1200</v>
      </c>
      <c r="AH764">
        <v>12</v>
      </c>
      <c r="AI764">
        <v>0</v>
      </c>
      <c r="AJ764">
        <v>0</v>
      </c>
      <c r="AK764">
        <v>1200</v>
      </c>
      <c r="AL764">
        <v>0</v>
      </c>
      <c r="AM764">
        <v>0</v>
      </c>
      <c r="AN764">
        <v>0</v>
      </c>
      <c r="AO764">
        <v>0</v>
      </c>
      <c r="AP764">
        <v>840</v>
      </c>
      <c r="AT764" t="str">
        <f t="shared" si="174"/>
        <v>9791159284663</v>
      </c>
      <c r="AV764" t="str">
        <f t="shared" si="171"/>
        <v>판타지 웹소설 &gt; 퓨전 판타지</v>
      </c>
    </row>
    <row r="765" spans="1:48" x14ac:dyDescent="0.4">
      <c r="A765">
        <v>2313007845</v>
      </c>
      <c r="B765">
        <v>2313008020</v>
      </c>
      <c r="C765" t="str">
        <f>T("간신이 나라를 살림 176화")</f>
        <v>간신이 나라를 살림 176화</v>
      </c>
      <c r="D765" t="str">
        <f>T("176")</f>
        <v>176</v>
      </c>
      <c r="E765" t="str">
        <f t="shared" si="172"/>
        <v>루이세</v>
      </c>
      <c r="H765" t="str">
        <f t="shared" si="170"/>
        <v>스토리위즈</v>
      </c>
      <c r="I765" t="str">
        <f t="shared" si="173"/>
        <v>간신이 나라를 살림</v>
      </c>
      <c r="J765">
        <v>100</v>
      </c>
      <c r="K765">
        <v>1200</v>
      </c>
      <c r="L765">
        <v>12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1200</v>
      </c>
      <c r="AH765">
        <v>12</v>
      </c>
      <c r="AI765">
        <v>0</v>
      </c>
      <c r="AJ765">
        <v>0</v>
      </c>
      <c r="AK765">
        <v>1200</v>
      </c>
      <c r="AL765">
        <v>0</v>
      </c>
      <c r="AM765">
        <v>0</v>
      </c>
      <c r="AN765">
        <v>0</v>
      </c>
      <c r="AO765">
        <v>0</v>
      </c>
      <c r="AP765">
        <v>840</v>
      </c>
      <c r="AT765" t="str">
        <f t="shared" si="174"/>
        <v>9791159284663</v>
      </c>
      <c r="AV765" t="str">
        <f t="shared" si="171"/>
        <v>판타지 웹소설 &gt; 퓨전 판타지</v>
      </c>
    </row>
    <row r="766" spans="1:48" x14ac:dyDescent="0.4">
      <c r="A766">
        <v>2313007845</v>
      </c>
      <c r="B766">
        <v>2313008021</v>
      </c>
      <c r="C766" t="str">
        <f>T("간신이 나라를 살림 177화")</f>
        <v>간신이 나라를 살림 177화</v>
      </c>
      <c r="D766" t="str">
        <f>T("177")</f>
        <v>177</v>
      </c>
      <c r="E766" t="str">
        <f t="shared" si="172"/>
        <v>루이세</v>
      </c>
      <c r="H766" t="str">
        <f t="shared" si="170"/>
        <v>스토리위즈</v>
      </c>
      <c r="I766" t="str">
        <f t="shared" si="173"/>
        <v>간신이 나라를 살림</v>
      </c>
      <c r="J766">
        <v>100</v>
      </c>
      <c r="K766">
        <v>1200</v>
      </c>
      <c r="L766">
        <v>12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1200</v>
      </c>
      <c r="AH766">
        <v>12</v>
      </c>
      <c r="AI766">
        <v>0</v>
      </c>
      <c r="AJ766">
        <v>0</v>
      </c>
      <c r="AK766">
        <v>1200</v>
      </c>
      <c r="AL766">
        <v>0</v>
      </c>
      <c r="AM766">
        <v>0</v>
      </c>
      <c r="AN766">
        <v>0</v>
      </c>
      <c r="AO766">
        <v>0</v>
      </c>
      <c r="AP766">
        <v>840</v>
      </c>
      <c r="AT766" t="str">
        <f t="shared" si="174"/>
        <v>9791159284663</v>
      </c>
      <c r="AV766" t="str">
        <f t="shared" si="171"/>
        <v>판타지 웹소설 &gt; 퓨전 판타지</v>
      </c>
    </row>
    <row r="767" spans="1:48" x14ac:dyDescent="0.4">
      <c r="A767">
        <v>2313007845</v>
      </c>
      <c r="B767">
        <v>2313008022</v>
      </c>
      <c r="C767" t="str">
        <f>T("간신이 나라를 살림 178화")</f>
        <v>간신이 나라를 살림 178화</v>
      </c>
      <c r="D767" t="str">
        <f>T("178")</f>
        <v>178</v>
      </c>
      <c r="E767" t="str">
        <f t="shared" si="172"/>
        <v>루이세</v>
      </c>
      <c r="H767" t="str">
        <f t="shared" si="170"/>
        <v>스토리위즈</v>
      </c>
      <c r="I767" t="str">
        <f t="shared" si="173"/>
        <v>간신이 나라를 살림</v>
      </c>
      <c r="J767">
        <v>100</v>
      </c>
      <c r="K767">
        <v>1200</v>
      </c>
      <c r="L767">
        <v>12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1200</v>
      </c>
      <c r="AH767">
        <v>12</v>
      </c>
      <c r="AI767">
        <v>0</v>
      </c>
      <c r="AJ767">
        <v>0</v>
      </c>
      <c r="AK767">
        <v>1200</v>
      </c>
      <c r="AL767">
        <v>0</v>
      </c>
      <c r="AM767">
        <v>0</v>
      </c>
      <c r="AN767">
        <v>0</v>
      </c>
      <c r="AO767">
        <v>0</v>
      </c>
      <c r="AP767">
        <v>840</v>
      </c>
      <c r="AT767" t="str">
        <f t="shared" si="174"/>
        <v>9791159284663</v>
      </c>
      <c r="AV767" t="str">
        <f t="shared" si="171"/>
        <v>판타지 웹소설 &gt; 퓨전 판타지</v>
      </c>
    </row>
    <row r="768" spans="1:48" x14ac:dyDescent="0.4">
      <c r="A768">
        <v>2313007845</v>
      </c>
      <c r="B768">
        <v>2313008023</v>
      </c>
      <c r="C768" t="str">
        <f>T("간신이 나라를 살림 179화")</f>
        <v>간신이 나라를 살림 179화</v>
      </c>
      <c r="D768" t="str">
        <f>T("179")</f>
        <v>179</v>
      </c>
      <c r="E768" t="str">
        <f t="shared" si="172"/>
        <v>루이세</v>
      </c>
      <c r="H768" t="str">
        <f t="shared" si="170"/>
        <v>스토리위즈</v>
      </c>
      <c r="I768" t="str">
        <f t="shared" si="173"/>
        <v>간신이 나라를 살림</v>
      </c>
      <c r="J768">
        <v>100</v>
      </c>
      <c r="K768">
        <v>1200</v>
      </c>
      <c r="L768">
        <v>12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1200</v>
      </c>
      <c r="AH768">
        <v>12</v>
      </c>
      <c r="AI768">
        <v>0</v>
      </c>
      <c r="AJ768">
        <v>0</v>
      </c>
      <c r="AK768">
        <v>1200</v>
      </c>
      <c r="AL768">
        <v>0</v>
      </c>
      <c r="AM768">
        <v>0</v>
      </c>
      <c r="AN768">
        <v>0</v>
      </c>
      <c r="AO768">
        <v>0</v>
      </c>
      <c r="AP768">
        <v>840</v>
      </c>
      <c r="AT768" t="str">
        <f t="shared" si="174"/>
        <v>9791159284663</v>
      </c>
      <c r="AV768" t="str">
        <f t="shared" si="171"/>
        <v>판타지 웹소설 &gt; 퓨전 판타지</v>
      </c>
    </row>
    <row r="769" spans="1:49" x14ac:dyDescent="0.4">
      <c r="A769">
        <v>2313007845</v>
      </c>
      <c r="B769">
        <v>2313008096</v>
      </c>
      <c r="C769" t="str">
        <f>T("간신이 나라를 살림 252화")</f>
        <v>간신이 나라를 살림 252화</v>
      </c>
      <c r="D769" t="str">
        <f>T("252")</f>
        <v>252</v>
      </c>
      <c r="E769" t="str">
        <f t="shared" si="172"/>
        <v>루이세</v>
      </c>
      <c r="H769" t="str">
        <f t="shared" si="170"/>
        <v>스토리위즈</v>
      </c>
      <c r="I769" t="str">
        <f t="shared" si="173"/>
        <v>간신이 나라를 살림</v>
      </c>
      <c r="J769">
        <v>100</v>
      </c>
      <c r="K769">
        <v>1200</v>
      </c>
      <c r="L769">
        <v>12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1200</v>
      </c>
      <c r="AH769">
        <v>12</v>
      </c>
      <c r="AI769">
        <v>0</v>
      </c>
      <c r="AJ769">
        <v>0</v>
      </c>
      <c r="AK769">
        <v>1200</v>
      </c>
      <c r="AL769">
        <v>0</v>
      </c>
      <c r="AM769">
        <v>0</v>
      </c>
      <c r="AN769">
        <v>0</v>
      </c>
      <c r="AO769">
        <v>0</v>
      </c>
      <c r="AP769">
        <v>840</v>
      </c>
      <c r="AT769" t="str">
        <f t="shared" si="174"/>
        <v>9791159284663</v>
      </c>
      <c r="AV769" t="str">
        <f t="shared" si="171"/>
        <v>판타지 웹소설 &gt; 퓨전 판타지</v>
      </c>
    </row>
    <row r="770" spans="1:49" x14ac:dyDescent="0.4">
      <c r="A770">
        <v>2313007845</v>
      </c>
      <c r="B770">
        <v>2313008103</v>
      </c>
      <c r="C770" t="str">
        <f>T("간신이 나라를 살림 259화")</f>
        <v>간신이 나라를 살림 259화</v>
      </c>
      <c r="D770" t="str">
        <f>T("259")</f>
        <v>259</v>
      </c>
      <c r="E770" t="str">
        <f t="shared" si="172"/>
        <v>루이세</v>
      </c>
      <c r="H770" t="str">
        <f t="shared" si="170"/>
        <v>스토리위즈</v>
      </c>
      <c r="I770" t="str">
        <f t="shared" si="173"/>
        <v>간신이 나라를 살림</v>
      </c>
      <c r="J770">
        <v>100</v>
      </c>
      <c r="K770">
        <v>1200</v>
      </c>
      <c r="L770">
        <v>12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1200</v>
      </c>
      <c r="AH770">
        <v>12</v>
      </c>
      <c r="AI770">
        <v>0</v>
      </c>
      <c r="AJ770">
        <v>0</v>
      </c>
      <c r="AK770">
        <v>1200</v>
      </c>
      <c r="AL770">
        <v>0</v>
      </c>
      <c r="AM770">
        <v>0</v>
      </c>
      <c r="AN770">
        <v>0</v>
      </c>
      <c r="AO770">
        <v>0</v>
      </c>
      <c r="AP770">
        <v>840</v>
      </c>
      <c r="AT770" t="str">
        <f t="shared" si="174"/>
        <v>9791159284663</v>
      </c>
      <c r="AV770" t="str">
        <f t="shared" si="171"/>
        <v>판타지 웹소설 &gt; 퓨전 판타지</v>
      </c>
    </row>
    <row r="771" spans="1:49" x14ac:dyDescent="0.4">
      <c r="A771">
        <v>2313007845</v>
      </c>
      <c r="B771">
        <v>2313008104</v>
      </c>
      <c r="C771" t="str">
        <f>T("간신이 나라를 살림 260화")</f>
        <v>간신이 나라를 살림 260화</v>
      </c>
      <c r="D771" t="str">
        <f>T("260")</f>
        <v>260</v>
      </c>
      <c r="E771" t="str">
        <f t="shared" si="172"/>
        <v>루이세</v>
      </c>
      <c r="H771" t="str">
        <f t="shared" si="170"/>
        <v>스토리위즈</v>
      </c>
      <c r="I771" t="str">
        <f t="shared" si="173"/>
        <v>간신이 나라를 살림</v>
      </c>
      <c r="J771">
        <v>100</v>
      </c>
      <c r="K771">
        <v>1200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1200</v>
      </c>
      <c r="AH771">
        <v>12</v>
      </c>
      <c r="AI771">
        <v>0</v>
      </c>
      <c r="AJ771">
        <v>0</v>
      </c>
      <c r="AK771">
        <v>1200</v>
      </c>
      <c r="AL771">
        <v>0</v>
      </c>
      <c r="AM771">
        <v>0</v>
      </c>
      <c r="AN771">
        <v>0</v>
      </c>
      <c r="AO771">
        <v>0</v>
      </c>
      <c r="AP771">
        <v>840</v>
      </c>
      <c r="AT771" t="str">
        <f t="shared" si="174"/>
        <v>9791159284663</v>
      </c>
      <c r="AV771" t="str">
        <f t="shared" si="171"/>
        <v>판타지 웹소설 &gt; 퓨전 판타지</v>
      </c>
    </row>
    <row r="772" spans="1:49" x14ac:dyDescent="0.4">
      <c r="A772">
        <v>2313011955</v>
      </c>
      <c r="B772">
        <v>2313012006</v>
      </c>
      <c r="C772" t="str">
        <f>T("갓 오브 블랙필드 52화")</f>
        <v>갓 오브 블랙필드 52화</v>
      </c>
      <c r="D772" t="str">
        <f>T("52")</f>
        <v>52</v>
      </c>
      <c r="E772" t="str">
        <f>T("무장")</f>
        <v>무장</v>
      </c>
      <c r="H772" t="str">
        <f t="shared" si="170"/>
        <v>스토리위즈</v>
      </c>
      <c r="I772" t="str">
        <f>T("갓 오브 블랙필드")</f>
        <v>갓 오브 블랙필드</v>
      </c>
      <c r="J772">
        <v>100</v>
      </c>
      <c r="K772">
        <v>1200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1200</v>
      </c>
      <c r="AH772">
        <v>12</v>
      </c>
      <c r="AI772">
        <v>0</v>
      </c>
      <c r="AJ772">
        <v>0</v>
      </c>
      <c r="AK772">
        <v>1200</v>
      </c>
      <c r="AL772">
        <v>0</v>
      </c>
      <c r="AM772">
        <v>0</v>
      </c>
      <c r="AN772">
        <v>0</v>
      </c>
      <c r="AO772">
        <v>0</v>
      </c>
      <c r="AP772">
        <v>840</v>
      </c>
      <c r="AT772" t="str">
        <f>T("9791137602113")</f>
        <v>9791137602113</v>
      </c>
      <c r="AV772" t="str">
        <f>T("판타지 웹소설 &gt; 현대 판타지")</f>
        <v>판타지 웹소설 &gt; 현대 판타지</v>
      </c>
    </row>
    <row r="773" spans="1:49" x14ac:dyDescent="0.4">
      <c r="A773">
        <v>2313011955</v>
      </c>
      <c r="B773">
        <v>2313012007</v>
      </c>
      <c r="C773" t="str">
        <f>T("갓 오브 블랙필드 53화")</f>
        <v>갓 오브 블랙필드 53화</v>
      </c>
      <c r="D773" t="str">
        <f>T("53")</f>
        <v>53</v>
      </c>
      <c r="E773" t="str">
        <f>T("무장")</f>
        <v>무장</v>
      </c>
      <c r="H773" t="str">
        <f t="shared" si="170"/>
        <v>스토리위즈</v>
      </c>
      <c r="I773" t="str">
        <f>T("갓 오브 블랙필드")</f>
        <v>갓 오브 블랙필드</v>
      </c>
      <c r="J773">
        <v>100</v>
      </c>
      <c r="K773">
        <v>1200</v>
      </c>
      <c r="L773">
        <v>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1200</v>
      </c>
      <c r="AH773">
        <v>12</v>
      </c>
      <c r="AI773">
        <v>0</v>
      </c>
      <c r="AJ773">
        <v>0</v>
      </c>
      <c r="AK773">
        <v>1200</v>
      </c>
      <c r="AL773">
        <v>0</v>
      </c>
      <c r="AM773">
        <v>0</v>
      </c>
      <c r="AN773">
        <v>0</v>
      </c>
      <c r="AO773">
        <v>0</v>
      </c>
      <c r="AP773">
        <v>840</v>
      </c>
      <c r="AT773" t="str">
        <f>T("9791137602113")</f>
        <v>9791137602113</v>
      </c>
      <c r="AV773" t="str">
        <f>T("판타지 웹소설 &gt; 현대 판타지")</f>
        <v>판타지 웹소설 &gt; 현대 판타지</v>
      </c>
    </row>
    <row r="774" spans="1:49" x14ac:dyDescent="0.4">
      <c r="A774">
        <v>2313011955</v>
      </c>
      <c r="B774">
        <v>2313012050</v>
      </c>
      <c r="C774" t="str">
        <f>T("갓 오브 블랙필드 96화")</f>
        <v>갓 오브 블랙필드 96화</v>
      </c>
      <c r="D774" t="str">
        <f>T("96")</f>
        <v>96</v>
      </c>
      <c r="E774" t="str">
        <f>T("무장")</f>
        <v>무장</v>
      </c>
      <c r="H774" t="str">
        <f t="shared" si="170"/>
        <v>스토리위즈</v>
      </c>
      <c r="I774" t="str">
        <f>T("갓 오브 블랙필드")</f>
        <v>갓 오브 블랙필드</v>
      </c>
      <c r="J774">
        <v>100</v>
      </c>
      <c r="K774">
        <v>1200</v>
      </c>
      <c r="L774">
        <v>12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1200</v>
      </c>
      <c r="AH774">
        <v>12</v>
      </c>
      <c r="AI774">
        <v>0</v>
      </c>
      <c r="AJ774">
        <v>0</v>
      </c>
      <c r="AK774">
        <v>1200</v>
      </c>
      <c r="AL774">
        <v>0</v>
      </c>
      <c r="AM774">
        <v>0</v>
      </c>
      <c r="AN774">
        <v>0</v>
      </c>
      <c r="AO774">
        <v>0</v>
      </c>
      <c r="AP774">
        <v>840</v>
      </c>
      <c r="AT774" t="str">
        <f>T("9791137602113")</f>
        <v>9791137602113</v>
      </c>
      <c r="AV774" t="str">
        <f>T("판타지 웹소설 &gt; 현대 판타지")</f>
        <v>판타지 웹소설 &gt; 현대 판타지</v>
      </c>
    </row>
    <row r="775" spans="1:49" x14ac:dyDescent="0.4">
      <c r="A775">
        <v>2313012849</v>
      </c>
      <c r="B775">
        <v>2313012925</v>
      </c>
      <c r="C775" t="str">
        <f>T("디버프 마스터 77화")</f>
        <v>디버프 마스터 77화</v>
      </c>
      <c r="D775" t="str">
        <f>T("77")</f>
        <v>77</v>
      </c>
      <c r="E775" t="str">
        <f>T("담화공")</f>
        <v>담화공</v>
      </c>
      <c r="H775" t="str">
        <f t="shared" si="170"/>
        <v>스토리위즈</v>
      </c>
      <c r="I775" t="str">
        <f>T("디버프 마스터")</f>
        <v>디버프 마스터</v>
      </c>
      <c r="J775">
        <v>100</v>
      </c>
      <c r="K775">
        <v>1200</v>
      </c>
      <c r="L775">
        <v>12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1200</v>
      </c>
      <c r="AH775">
        <v>12</v>
      </c>
      <c r="AI775">
        <v>0</v>
      </c>
      <c r="AJ775">
        <v>0</v>
      </c>
      <c r="AK775">
        <v>1100</v>
      </c>
      <c r="AL775">
        <v>0</v>
      </c>
      <c r="AM775">
        <v>119.05</v>
      </c>
      <c r="AN775">
        <v>-35.72</v>
      </c>
      <c r="AO775">
        <v>0</v>
      </c>
      <c r="AP775">
        <v>828.33</v>
      </c>
      <c r="AT775" t="str">
        <f>T("9791137602663")</f>
        <v>9791137602663</v>
      </c>
      <c r="AV775" t="str">
        <f>T("판타지 웹소설 &gt; 퓨전 판타지")</f>
        <v>판타지 웹소설 &gt; 퓨전 판타지</v>
      </c>
    </row>
    <row r="776" spans="1:49" x14ac:dyDescent="0.4">
      <c r="A776">
        <v>2313012849</v>
      </c>
      <c r="B776">
        <v>2313012928</v>
      </c>
      <c r="C776" t="str">
        <f>T("디버프 마스터 80화")</f>
        <v>디버프 마스터 80화</v>
      </c>
      <c r="D776" t="str">
        <f>T("80")</f>
        <v>80</v>
      </c>
      <c r="E776" t="str">
        <f>T("담화공")</f>
        <v>담화공</v>
      </c>
      <c r="H776" t="str">
        <f t="shared" si="170"/>
        <v>스토리위즈</v>
      </c>
      <c r="I776" t="str">
        <f>T("디버프 마스터")</f>
        <v>디버프 마스터</v>
      </c>
      <c r="J776">
        <v>100</v>
      </c>
      <c r="K776">
        <v>1200</v>
      </c>
      <c r="L776">
        <v>12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1200</v>
      </c>
      <c r="AH776">
        <v>12</v>
      </c>
      <c r="AI776">
        <v>0</v>
      </c>
      <c r="AJ776">
        <v>0</v>
      </c>
      <c r="AK776">
        <v>1100</v>
      </c>
      <c r="AL776">
        <v>0</v>
      </c>
      <c r="AM776">
        <v>119.05</v>
      </c>
      <c r="AN776">
        <v>-35.72</v>
      </c>
      <c r="AO776">
        <v>0</v>
      </c>
      <c r="AP776">
        <v>828.33</v>
      </c>
      <c r="AT776" t="str">
        <f>T("9791137602663")</f>
        <v>9791137602663</v>
      </c>
      <c r="AV776" t="str">
        <f>T("판타지 웹소설 &gt; 퓨전 판타지")</f>
        <v>판타지 웹소설 &gt; 퓨전 판타지</v>
      </c>
    </row>
    <row r="777" spans="1:49" x14ac:dyDescent="0.4">
      <c r="A777">
        <v>2313012849</v>
      </c>
      <c r="B777">
        <v>2313012929</v>
      </c>
      <c r="C777" t="str">
        <f>T("디버프 마스터 81화")</f>
        <v>디버프 마스터 81화</v>
      </c>
      <c r="D777" t="str">
        <f>T("81")</f>
        <v>81</v>
      </c>
      <c r="E777" t="str">
        <f>T("담화공")</f>
        <v>담화공</v>
      </c>
      <c r="H777" t="str">
        <f t="shared" si="170"/>
        <v>스토리위즈</v>
      </c>
      <c r="I777" t="str">
        <f>T("디버프 마스터")</f>
        <v>디버프 마스터</v>
      </c>
      <c r="J777">
        <v>100</v>
      </c>
      <c r="K777">
        <v>1200</v>
      </c>
      <c r="L777">
        <v>12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1200</v>
      </c>
      <c r="AH777">
        <v>12</v>
      </c>
      <c r="AI777">
        <v>0</v>
      </c>
      <c r="AJ777">
        <v>0</v>
      </c>
      <c r="AK777">
        <v>1100</v>
      </c>
      <c r="AL777">
        <v>0</v>
      </c>
      <c r="AM777">
        <v>119.05</v>
      </c>
      <c r="AN777">
        <v>-35.72</v>
      </c>
      <c r="AO777">
        <v>0</v>
      </c>
      <c r="AP777">
        <v>828.33</v>
      </c>
      <c r="AT777" t="str">
        <f>T("9791137602663")</f>
        <v>9791137602663</v>
      </c>
      <c r="AV777" t="str">
        <f>T("판타지 웹소설 &gt; 퓨전 판타지")</f>
        <v>판타지 웹소설 &gt; 퓨전 판타지</v>
      </c>
    </row>
    <row r="778" spans="1:49" x14ac:dyDescent="0.4">
      <c r="A778">
        <v>2313012849</v>
      </c>
      <c r="B778">
        <v>2313012940</v>
      </c>
      <c r="C778" t="str">
        <f>T("디버프 마스터 92화")</f>
        <v>디버프 마스터 92화</v>
      </c>
      <c r="D778" t="str">
        <f>T("92")</f>
        <v>92</v>
      </c>
      <c r="E778" t="str">
        <f>T("담화공")</f>
        <v>담화공</v>
      </c>
      <c r="H778" t="str">
        <f t="shared" si="170"/>
        <v>스토리위즈</v>
      </c>
      <c r="I778" t="str">
        <f>T("디버프 마스터")</f>
        <v>디버프 마스터</v>
      </c>
      <c r="J778">
        <v>100</v>
      </c>
      <c r="K778">
        <v>1200</v>
      </c>
      <c r="L778">
        <v>12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1200</v>
      </c>
      <c r="AH778">
        <v>12</v>
      </c>
      <c r="AI778">
        <v>0</v>
      </c>
      <c r="AJ778">
        <v>0</v>
      </c>
      <c r="AK778">
        <v>1100</v>
      </c>
      <c r="AL778">
        <v>0</v>
      </c>
      <c r="AM778">
        <v>119.05</v>
      </c>
      <c r="AN778">
        <v>-35.72</v>
      </c>
      <c r="AO778">
        <v>0</v>
      </c>
      <c r="AP778">
        <v>828.33</v>
      </c>
      <c r="AT778" t="str">
        <f>T("9791137602663")</f>
        <v>9791137602663</v>
      </c>
      <c r="AV778" t="str">
        <f>T("판타지 웹소설 &gt; 퓨전 판타지")</f>
        <v>판타지 웹소설 &gt; 퓨전 판타지</v>
      </c>
    </row>
    <row r="779" spans="1:49" x14ac:dyDescent="0.4">
      <c r="A779">
        <v>2313012849</v>
      </c>
      <c r="B779">
        <v>2313012941</v>
      </c>
      <c r="C779" t="str">
        <f>T("디버프 마스터 93화")</f>
        <v>디버프 마스터 93화</v>
      </c>
      <c r="D779" t="str">
        <f>T("93")</f>
        <v>93</v>
      </c>
      <c r="E779" t="str">
        <f>T("담화공")</f>
        <v>담화공</v>
      </c>
      <c r="H779" t="str">
        <f t="shared" si="170"/>
        <v>스토리위즈</v>
      </c>
      <c r="I779" t="str">
        <f>T("디버프 마스터")</f>
        <v>디버프 마스터</v>
      </c>
      <c r="J779">
        <v>100</v>
      </c>
      <c r="K779">
        <v>1200</v>
      </c>
      <c r="L779">
        <v>12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1200</v>
      </c>
      <c r="AH779">
        <v>12</v>
      </c>
      <c r="AI779">
        <v>0</v>
      </c>
      <c r="AJ779">
        <v>0</v>
      </c>
      <c r="AK779">
        <v>1100</v>
      </c>
      <c r="AL779">
        <v>0</v>
      </c>
      <c r="AM779">
        <v>119.05</v>
      </c>
      <c r="AN779">
        <v>-35.72</v>
      </c>
      <c r="AO779">
        <v>0</v>
      </c>
      <c r="AP779">
        <v>828.33</v>
      </c>
      <c r="AT779" t="str">
        <f>T("9791137602663")</f>
        <v>9791137602663</v>
      </c>
      <c r="AV779" t="str">
        <f>T("판타지 웹소설 &gt; 퓨전 판타지")</f>
        <v>판타지 웹소설 &gt; 퓨전 판타지</v>
      </c>
    </row>
    <row r="780" spans="1:49" x14ac:dyDescent="0.4">
      <c r="A780">
        <v>2313016973</v>
      </c>
      <c r="B780">
        <v>2313016917</v>
      </c>
      <c r="C780" t="str">
        <f>T("[e북]On the air (외전)")</f>
        <v>[e북]On the air (외전)</v>
      </c>
      <c r="D780" t="str">
        <f>T("3")</f>
        <v>3</v>
      </c>
      <c r="E780" t="str">
        <f>T("DION(디온)")</f>
        <v>DION(디온)</v>
      </c>
      <c r="H780" t="str">
        <f>T("도서출판 태랑")</f>
        <v>도서출판 태랑</v>
      </c>
      <c r="I780" t="str">
        <f>T("[e북]온 디 에어 (On the air)")</f>
        <v>[e북]온 디 에어 (On the air)</v>
      </c>
      <c r="J780">
        <v>1200</v>
      </c>
      <c r="K780">
        <v>1200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1200</v>
      </c>
      <c r="AH780">
        <v>1</v>
      </c>
      <c r="AI780">
        <v>0</v>
      </c>
      <c r="AJ780">
        <v>0</v>
      </c>
      <c r="AK780">
        <v>1200</v>
      </c>
      <c r="AL780">
        <v>0</v>
      </c>
      <c r="AM780">
        <v>0</v>
      </c>
      <c r="AN780">
        <v>0</v>
      </c>
      <c r="AO780">
        <v>0</v>
      </c>
      <c r="AP780">
        <v>840</v>
      </c>
      <c r="AT780" t="str">
        <f>T("9791164373635")</f>
        <v>9791164373635</v>
      </c>
      <c r="AV780" t="str">
        <f>T("BL 소설 e북 &gt; 현대물")</f>
        <v>BL 소설 e북 &gt; 현대물</v>
      </c>
    </row>
    <row r="781" spans="1:49" x14ac:dyDescent="0.4">
      <c r="A781">
        <v>2313017035</v>
      </c>
      <c r="B781">
        <v>2313016974</v>
      </c>
      <c r="C781" t="str">
        <f>T("[e북]몸의 선율 (외전)")</f>
        <v>[e북]몸의 선율 (외전)</v>
      </c>
      <c r="D781" t="str">
        <f>T("2")</f>
        <v>2</v>
      </c>
      <c r="E781" t="str">
        <f>T("한서아")</f>
        <v>한서아</v>
      </c>
      <c r="H781" t="str">
        <f>T("도서출판 태랑")</f>
        <v>도서출판 태랑</v>
      </c>
      <c r="I781" t="str">
        <f>T("[e북]몸의 선율")</f>
        <v>[e북]몸의 선율</v>
      </c>
      <c r="J781">
        <v>400</v>
      </c>
      <c r="K781">
        <v>1200</v>
      </c>
      <c r="L781">
        <v>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1200</v>
      </c>
      <c r="AH781">
        <v>3</v>
      </c>
      <c r="AI781">
        <v>0</v>
      </c>
      <c r="AJ781">
        <v>0</v>
      </c>
      <c r="AK781">
        <v>1200</v>
      </c>
      <c r="AL781">
        <v>0</v>
      </c>
      <c r="AM781">
        <v>0</v>
      </c>
      <c r="AN781">
        <v>0</v>
      </c>
      <c r="AO781">
        <v>0</v>
      </c>
      <c r="AP781">
        <v>840</v>
      </c>
      <c r="AT781" t="str">
        <f>T("9791164372355")</f>
        <v>9791164372355</v>
      </c>
      <c r="AV781" t="str">
        <f>T("로맨스 e북 &gt; 현대물")</f>
        <v>로맨스 e북 &gt; 현대물</v>
      </c>
      <c r="AW781" t="str">
        <f>T("로맨스 e북 &gt; 19+")</f>
        <v>로맨스 e북 &gt; 19+</v>
      </c>
    </row>
    <row r="782" spans="1:49" x14ac:dyDescent="0.4">
      <c r="A782">
        <v>2313017102</v>
      </c>
      <c r="B782">
        <v>2313017082</v>
      </c>
      <c r="C782" t="str">
        <f>T("[e북]정혼자 (외전)")</f>
        <v>[e북]정혼자 (외전)</v>
      </c>
      <c r="D782" t="str">
        <f>T("3")</f>
        <v>3</v>
      </c>
      <c r="E782" t="str">
        <f>T("모리미")</f>
        <v>모리미</v>
      </c>
      <c r="H782" t="str">
        <f>T("도서출판 태랑")</f>
        <v>도서출판 태랑</v>
      </c>
      <c r="I782" t="str">
        <f>T("[e북]정혼자")</f>
        <v>[e북]정혼자</v>
      </c>
      <c r="J782">
        <v>300</v>
      </c>
      <c r="K782">
        <v>1200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1200</v>
      </c>
      <c r="AH782">
        <v>4</v>
      </c>
      <c r="AI782">
        <v>0</v>
      </c>
      <c r="AJ782">
        <v>0</v>
      </c>
      <c r="AK782">
        <v>1200</v>
      </c>
      <c r="AL782">
        <v>0</v>
      </c>
      <c r="AM782">
        <v>0</v>
      </c>
      <c r="AN782">
        <v>0</v>
      </c>
      <c r="AO782">
        <v>0</v>
      </c>
      <c r="AP782">
        <v>840</v>
      </c>
      <c r="AT782" t="str">
        <f>T("9791164370221")</f>
        <v>9791164370221</v>
      </c>
      <c r="AV782" t="str">
        <f>T("BL 소설 e북 &gt; 현대물")</f>
        <v>BL 소설 e북 &gt; 현대물</v>
      </c>
    </row>
    <row r="783" spans="1:49" x14ac:dyDescent="0.4">
      <c r="A783">
        <v>2313017148</v>
      </c>
      <c r="B783">
        <v>2313017123</v>
      </c>
      <c r="C783" t="str">
        <f>T("[e북]비서의 유혹 (외전)")</f>
        <v>[e북]비서의 유혹 (외전)</v>
      </c>
      <c r="D783" t="str">
        <f>T("4")</f>
        <v>4</v>
      </c>
      <c r="E783" t="str">
        <f>T("밈스")</f>
        <v>밈스</v>
      </c>
      <c r="H783" t="str">
        <f>T("도서출판 태랑")</f>
        <v>도서출판 태랑</v>
      </c>
      <c r="I783" t="str">
        <f>T("[e북]비서의 유혹")</f>
        <v>[e북]비서의 유혹</v>
      </c>
      <c r="J783">
        <v>400</v>
      </c>
      <c r="K783">
        <v>1200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1200</v>
      </c>
      <c r="AH783">
        <v>3</v>
      </c>
      <c r="AI783">
        <v>0</v>
      </c>
      <c r="AJ783">
        <v>0</v>
      </c>
      <c r="AK783">
        <v>1200</v>
      </c>
      <c r="AL783">
        <v>0</v>
      </c>
      <c r="AM783">
        <v>0</v>
      </c>
      <c r="AN783">
        <v>0</v>
      </c>
      <c r="AO783">
        <v>0</v>
      </c>
      <c r="AP783">
        <v>840</v>
      </c>
      <c r="AT783" t="str">
        <f>T("9791189084837")</f>
        <v>9791189084837</v>
      </c>
      <c r="AV783" t="str">
        <f>T("로맨스 e북 &gt; 현대물")</f>
        <v>로맨스 e북 &gt; 현대물</v>
      </c>
    </row>
    <row r="784" spans="1:49" x14ac:dyDescent="0.4">
      <c r="A784">
        <v>2313017657</v>
      </c>
      <c r="B784">
        <v>2313017783</v>
      </c>
      <c r="C784" t="str">
        <f>T("회귀자의 슬기로운 복수생활 127화")</f>
        <v>회귀자의 슬기로운 복수생활 127화</v>
      </c>
      <c r="D784" t="str">
        <f>T("127")</f>
        <v>127</v>
      </c>
      <c r="E784" t="str">
        <f t="shared" ref="E784:E790" si="175">T("구공")</f>
        <v>구공</v>
      </c>
      <c r="H784" t="str">
        <f t="shared" ref="H784:H834" si="176">T("스토리위즈")</f>
        <v>스토리위즈</v>
      </c>
      <c r="I784" t="str">
        <f t="shared" ref="I784:I790" si="177">T("회귀자의 슬기로운 복수생활")</f>
        <v>회귀자의 슬기로운 복수생활</v>
      </c>
      <c r="J784">
        <v>100</v>
      </c>
      <c r="K784">
        <v>1200</v>
      </c>
      <c r="L784">
        <v>12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1200</v>
      </c>
      <c r="AH784">
        <v>12</v>
      </c>
      <c r="AI784">
        <v>0</v>
      </c>
      <c r="AJ784">
        <v>0</v>
      </c>
      <c r="AK784">
        <v>1200</v>
      </c>
      <c r="AL784">
        <v>0</v>
      </c>
      <c r="AM784">
        <v>0</v>
      </c>
      <c r="AN784">
        <v>0</v>
      </c>
      <c r="AO784">
        <v>0</v>
      </c>
      <c r="AP784">
        <v>840</v>
      </c>
      <c r="AT784" t="str">
        <f t="shared" ref="AT784:AT790" si="178">T("9791137601710")</f>
        <v>9791137601710</v>
      </c>
      <c r="AV784" t="str">
        <f t="shared" ref="AV784:AV811" si="179">T("판타지 웹소설 &gt; 퓨전 판타지")</f>
        <v>판타지 웹소설 &gt; 퓨전 판타지</v>
      </c>
    </row>
    <row r="785" spans="1:48" x14ac:dyDescent="0.4">
      <c r="A785">
        <v>2313017657</v>
      </c>
      <c r="B785">
        <v>2313017833</v>
      </c>
      <c r="C785" t="str">
        <f>T("회귀자의 슬기로운 복수생활 177화")</f>
        <v>회귀자의 슬기로운 복수생활 177화</v>
      </c>
      <c r="D785" t="str">
        <f>T("177")</f>
        <v>177</v>
      </c>
      <c r="E785" t="str">
        <f t="shared" si="175"/>
        <v>구공</v>
      </c>
      <c r="H785" t="str">
        <f t="shared" si="176"/>
        <v>스토리위즈</v>
      </c>
      <c r="I785" t="str">
        <f t="shared" si="177"/>
        <v>회귀자의 슬기로운 복수생활</v>
      </c>
      <c r="J785">
        <v>100</v>
      </c>
      <c r="K785">
        <v>1200</v>
      </c>
      <c r="L785">
        <v>12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1200</v>
      </c>
      <c r="AH785">
        <v>12</v>
      </c>
      <c r="AI785">
        <v>0</v>
      </c>
      <c r="AJ785">
        <v>0</v>
      </c>
      <c r="AK785">
        <v>1200</v>
      </c>
      <c r="AL785">
        <v>0</v>
      </c>
      <c r="AM785">
        <v>0</v>
      </c>
      <c r="AN785">
        <v>0</v>
      </c>
      <c r="AO785">
        <v>0</v>
      </c>
      <c r="AP785">
        <v>840</v>
      </c>
      <c r="AT785" t="str">
        <f t="shared" si="178"/>
        <v>9791137601710</v>
      </c>
      <c r="AV785" t="str">
        <f t="shared" si="179"/>
        <v>판타지 웹소설 &gt; 퓨전 판타지</v>
      </c>
    </row>
    <row r="786" spans="1:48" x14ac:dyDescent="0.4">
      <c r="A786">
        <v>2313017657</v>
      </c>
      <c r="B786">
        <v>2313017847</v>
      </c>
      <c r="C786" t="str">
        <f>T("회귀자의 슬기로운 복수생활 191화")</f>
        <v>회귀자의 슬기로운 복수생활 191화</v>
      </c>
      <c r="D786" t="str">
        <f>T("191")</f>
        <v>191</v>
      </c>
      <c r="E786" t="str">
        <f t="shared" si="175"/>
        <v>구공</v>
      </c>
      <c r="H786" t="str">
        <f t="shared" si="176"/>
        <v>스토리위즈</v>
      </c>
      <c r="I786" t="str">
        <f t="shared" si="177"/>
        <v>회귀자의 슬기로운 복수생활</v>
      </c>
      <c r="J786">
        <v>100</v>
      </c>
      <c r="K786">
        <v>1200</v>
      </c>
      <c r="L786">
        <v>12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1200</v>
      </c>
      <c r="AH786">
        <v>12</v>
      </c>
      <c r="AI786">
        <v>0</v>
      </c>
      <c r="AJ786">
        <v>0</v>
      </c>
      <c r="AK786">
        <v>1200</v>
      </c>
      <c r="AL786">
        <v>0</v>
      </c>
      <c r="AM786">
        <v>0</v>
      </c>
      <c r="AN786">
        <v>0</v>
      </c>
      <c r="AO786">
        <v>0</v>
      </c>
      <c r="AP786">
        <v>840</v>
      </c>
      <c r="AT786" t="str">
        <f t="shared" si="178"/>
        <v>9791137601710</v>
      </c>
      <c r="AV786" t="str">
        <f t="shared" si="179"/>
        <v>판타지 웹소설 &gt; 퓨전 판타지</v>
      </c>
    </row>
    <row r="787" spans="1:48" x14ac:dyDescent="0.4">
      <c r="A787">
        <v>2313017657</v>
      </c>
      <c r="B787">
        <v>2313017848</v>
      </c>
      <c r="C787" t="str">
        <f>T("회귀자의 슬기로운 복수생활 192화")</f>
        <v>회귀자의 슬기로운 복수생활 192화</v>
      </c>
      <c r="D787" t="str">
        <f>T("192")</f>
        <v>192</v>
      </c>
      <c r="E787" t="str">
        <f t="shared" si="175"/>
        <v>구공</v>
      </c>
      <c r="H787" t="str">
        <f t="shared" si="176"/>
        <v>스토리위즈</v>
      </c>
      <c r="I787" t="str">
        <f t="shared" si="177"/>
        <v>회귀자의 슬기로운 복수생활</v>
      </c>
      <c r="J787">
        <v>100</v>
      </c>
      <c r="K787">
        <v>1200</v>
      </c>
      <c r="L787">
        <v>12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1200</v>
      </c>
      <c r="AH787">
        <v>12</v>
      </c>
      <c r="AI787">
        <v>0</v>
      </c>
      <c r="AJ787">
        <v>0</v>
      </c>
      <c r="AK787">
        <v>1200</v>
      </c>
      <c r="AL787">
        <v>0</v>
      </c>
      <c r="AM787">
        <v>0</v>
      </c>
      <c r="AN787">
        <v>0</v>
      </c>
      <c r="AO787">
        <v>0</v>
      </c>
      <c r="AP787">
        <v>840</v>
      </c>
      <c r="AT787" t="str">
        <f t="shared" si="178"/>
        <v>9791137601710</v>
      </c>
      <c r="AV787" t="str">
        <f t="shared" si="179"/>
        <v>판타지 웹소설 &gt; 퓨전 판타지</v>
      </c>
    </row>
    <row r="788" spans="1:48" x14ac:dyDescent="0.4">
      <c r="A788">
        <v>2313017657</v>
      </c>
      <c r="B788">
        <v>2313017850</v>
      </c>
      <c r="C788" t="str">
        <f>T("회귀자의 슬기로운 복수생활 194화")</f>
        <v>회귀자의 슬기로운 복수생활 194화</v>
      </c>
      <c r="D788" t="str">
        <f>T("194")</f>
        <v>194</v>
      </c>
      <c r="E788" t="str">
        <f t="shared" si="175"/>
        <v>구공</v>
      </c>
      <c r="H788" t="str">
        <f t="shared" si="176"/>
        <v>스토리위즈</v>
      </c>
      <c r="I788" t="str">
        <f t="shared" si="177"/>
        <v>회귀자의 슬기로운 복수생활</v>
      </c>
      <c r="J788">
        <v>100</v>
      </c>
      <c r="K788">
        <v>1200</v>
      </c>
      <c r="L788">
        <v>12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1200</v>
      </c>
      <c r="AH788">
        <v>12</v>
      </c>
      <c r="AI788">
        <v>0</v>
      </c>
      <c r="AJ788">
        <v>0</v>
      </c>
      <c r="AK788">
        <v>1200</v>
      </c>
      <c r="AL788">
        <v>0</v>
      </c>
      <c r="AM788">
        <v>0</v>
      </c>
      <c r="AN788">
        <v>0</v>
      </c>
      <c r="AO788">
        <v>0</v>
      </c>
      <c r="AP788">
        <v>840</v>
      </c>
      <c r="AT788" t="str">
        <f t="shared" si="178"/>
        <v>9791137601710</v>
      </c>
      <c r="AV788" t="str">
        <f t="shared" si="179"/>
        <v>판타지 웹소설 &gt; 퓨전 판타지</v>
      </c>
    </row>
    <row r="789" spans="1:48" x14ac:dyDescent="0.4">
      <c r="A789">
        <v>2313017657</v>
      </c>
      <c r="B789">
        <v>2313017851</v>
      </c>
      <c r="C789" t="str">
        <f>T("회귀자의 슬기로운 복수생활 195화")</f>
        <v>회귀자의 슬기로운 복수생활 195화</v>
      </c>
      <c r="D789" t="str">
        <f>T("195")</f>
        <v>195</v>
      </c>
      <c r="E789" t="str">
        <f t="shared" si="175"/>
        <v>구공</v>
      </c>
      <c r="H789" t="str">
        <f t="shared" si="176"/>
        <v>스토리위즈</v>
      </c>
      <c r="I789" t="str">
        <f t="shared" si="177"/>
        <v>회귀자의 슬기로운 복수생활</v>
      </c>
      <c r="J789">
        <v>100</v>
      </c>
      <c r="K789">
        <v>1200</v>
      </c>
      <c r="L789">
        <v>12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1200</v>
      </c>
      <c r="AH789">
        <v>12</v>
      </c>
      <c r="AI789">
        <v>0</v>
      </c>
      <c r="AJ789">
        <v>0</v>
      </c>
      <c r="AK789">
        <v>1200</v>
      </c>
      <c r="AL789">
        <v>0</v>
      </c>
      <c r="AM789">
        <v>0</v>
      </c>
      <c r="AN789">
        <v>0</v>
      </c>
      <c r="AO789">
        <v>0</v>
      </c>
      <c r="AP789">
        <v>840</v>
      </c>
      <c r="AT789" t="str">
        <f t="shared" si="178"/>
        <v>9791137601710</v>
      </c>
      <c r="AV789" t="str">
        <f t="shared" si="179"/>
        <v>판타지 웹소설 &gt; 퓨전 판타지</v>
      </c>
    </row>
    <row r="790" spans="1:48" x14ac:dyDescent="0.4">
      <c r="A790">
        <v>2313017657</v>
      </c>
      <c r="B790">
        <v>2313017852</v>
      </c>
      <c r="C790" t="str">
        <f>T("회귀자의 슬기로운 복수생활 196화")</f>
        <v>회귀자의 슬기로운 복수생활 196화</v>
      </c>
      <c r="D790" t="str">
        <f>T("196")</f>
        <v>196</v>
      </c>
      <c r="E790" t="str">
        <f t="shared" si="175"/>
        <v>구공</v>
      </c>
      <c r="H790" t="str">
        <f t="shared" si="176"/>
        <v>스토리위즈</v>
      </c>
      <c r="I790" t="str">
        <f t="shared" si="177"/>
        <v>회귀자의 슬기로운 복수생활</v>
      </c>
      <c r="J790">
        <v>100</v>
      </c>
      <c r="K790">
        <v>1200</v>
      </c>
      <c r="L790">
        <v>12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1200</v>
      </c>
      <c r="AH790">
        <v>12</v>
      </c>
      <c r="AI790">
        <v>0</v>
      </c>
      <c r="AJ790">
        <v>0</v>
      </c>
      <c r="AK790">
        <v>1200</v>
      </c>
      <c r="AL790">
        <v>0</v>
      </c>
      <c r="AM790">
        <v>0</v>
      </c>
      <c r="AN790">
        <v>0</v>
      </c>
      <c r="AO790">
        <v>0</v>
      </c>
      <c r="AP790">
        <v>840</v>
      </c>
      <c r="AT790" t="str">
        <f t="shared" si="178"/>
        <v>9791137601710</v>
      </c>
      <c r="AV790" t="str">
        <f t="shared" si="179"/>
        <v>판타지 웹소설 &gt; 퓨전 판타지</v>
      </c>
    </row>
    <row r="791" spans="1:48" x14ac:dyDescent="0.4">
      <c r="A791">
        <v>2313007845</v>
      </c>
      <c r="B791">
        <v>2313007870</v>
      </c>
      <c r="C791" t="str">
        <f>T("간신이 나라를 살림 26화")</f>
        <v>간신이 나라를 살림 26화</v>
      </c>
      <c r="D791" t="str">
        <f>T("26")</f>
        <v>26</v>
      </c>
      <c r="E791" t="str">
        <f t="shared" ref="E791:E811" si="180">T("루이세")</f>
        <v>루이세</v>
      </c>
      <c r="H791" t="str">
        <f t="shared" si="176"/>
        <v>스토리위즈</v>
      </c>
      <c r="I791" t="str">
        <f t="shared" ref="I791:I811" si="181">T("간신이 나라를 살림")</f>
        <v>간신이 나라를 살림</v>
      </c>
      <c r="J791">
        <v>100</v>
      </c>
      <c r="K791">
        <v>1100</v>
      </c>
      <c r="L791">
        <v>11</v>
      </c>
      <c r="M791">
        <v>0</v>
      </c>
      <c r="N791">
        <v>0</v>
      </c>
      <c r="O791">
        <v>0</v>
      </c>
      <c r="P791">
        <v>207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1100</v>
      </c>
      <c r="AH791">
        <v>218</v>
      </c>
      <c r="AI791">
        <v>0</v>
      </c>
      <c r="AJ791">
        <v>1</v>
      </c>
      <c r="AK791">
        <v>1100</v>
      </c>
      <c r="AL791">
        <v>0</v>
      </c>
      <c r="AM791">
        <v>0</v>
      </c>
      <c r="AN791">
        <v>0</v>
      </c>
      <c r="AO791">
        <v>0</v>
      </c>
      <c r="AP791">
        <v>770</v>
      </c>
      <c r="AT791" t="str">
        <f t="shared" ref="AT791:AT811" si="182">T("9791159284663")</f>
        <v>9791159284663</v>
      </c>
      <c r="AV791" t="str">
        <f t="shared" si="179"/>
        <v>판타지 웹소설 &gt; 퓨전 판타지</v>
      </c>
    </row>
    <row r="792" spans="1:48" x14ac:dyDescent="0.4">
      <c r="A792">
        <v>2313007845</v>
      </c>
      <c r="B792">
        <v>2313007999</v>
      </c>
      <c r="C792" t="str">
        <f>T("간신이 나라를 살림 155화")</f>
        <v>간신이 나라를 살림 155화</v>
      </c>
      <c r="D792" t="str">
        <f>T("155")</f>
        <v>155</v>
      </c>
      <c r="E792" t="str">
        <f t="shared" si="180"/>
        <v>루이세</v>
      </c>
      <c r="H792" t="str">
        <f t="shared" si="176"/>
        <v>스토리위즈</v>
      </c>
      <c r="I792" t="str">
        <f t="shared" si="181"/>
        <v>간신이 나라를 살림</v>
      </c>
      <c r="J792">
        <v>100</v>
      </c>
      <c r="K792">
        <v>1100</v>
      </c>
      <c r="L792">
        <v>11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1100</v>
      </c>
      <c r="AH792">
        <v>11</v>
      </c>
      <c r="AI792">
        <v>0</v>
      </c>
      <c r="AJ792">
        <v>0</v>
      </c>
      <c r="AK792">
        <v>1100</v>
      </c>
      <c r="AL792">
        <v>0</v>
      </c>
      <c r="AM792">
        <v>0</v>
      </c>
      <c r="AN792">
        <v>0</v>
      </c>
      <c r="AO792">
        <v>0</v>
      </c>
      <c r="AP792">
        <v>770</v>
      </c>
      <c r="AT792" t="str">
        <f t="shared" si="182"/>
        <v>9791159284663</v>
      </c>
      <c r="AV792" t="str">
        <f t="shared" si="179"/>
        <v>판타지 웹소설 &gt; 퓨전 판타지</v>
      </c>
    </row>
    <row r="793" spans="1:48" x14ac:dyDescent="0.4">
      <c r="A793">
        <v>2313007845</v>
      </c>
      <c r="B793">
        <v>2313008019</v>
      </c>
      <c r="C793" t="str">
        <f>T("간신이 나라를 살림 175화")</f>
        <v>간신이 나라를 살림 175화</v>
      </c>
      <c r="D793" t="str">
        <f>T("175")</f>
        <v>175</v>
      </c>
      <c r="E793" t="str">
        <f t="shared" si="180"/>
        <v>루이세</v>
      </c>
      <c r="H793" t="str">
        <f t="shared" si="176"/>
        <v>스토리위즈</v>
      </c>
      <c r="I793" t="str">
        <f t="shared" si="181"/>
        <v>간신이 나라를 살림</v>
      </c>
      <c r="J793">
        <v>100</v>
      </c>
      <c r="K793">
        <v>1100</v>
      </c>
      <c r="L793">
        <v>11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1100</v>
      </c>
      <c r="AH793">
        <v>11</v>
      </c>
      <c r="AI793">
        <v>0</v>
      </c>
      <c r="AJ793">
        <v>0</v>
      </c>
      <c r="AK793">
        <v>1100</v>
      </c>
      <c r="AL793">
        <v>0</v>
      </c>
      <c r="AM793">
        <v>0</v>
      </c>
      <c r="AN793">
        <v>0</v>
      </c>
      <c r="AO793">
        <v>0</v>
      </c>
      <c r="AP793">
        <v>770</v>
      </c>
      <c r="AT793" t="str">
        <f t="shared" si="182"/>
        <v>9791159284663</v>
      </c>
      <c r="AV793" t="str">
        <f t="shared" si="179"/>
        <v>판타지 웹소설 &gt; 퓨전 판타지</v>
      </c>
    </row>
    <row r="794" spans="1:48" x14ac:dyDescent="0.4">
      <c r="A794">
        <v>2313007845</v>
      </c>
      <c r="B794">
        <v>2313008024</v>
      </c>
      <c r="C794" t="str">
        <f>T("간신이 나라를 살림 180화")</f>
        <v>간신이 나라를 살림 180화</v>
      </c>
      <c r="D794" t="str">
        <f>T("180")</f>
        <v>180</v>
      </c>
      <c r="E794" t="str">
        <f t="shared" si="180"/>
        <v>루이세</v>
      </c>
      <c r="H794" t="str">
        <f t="shared" si="176"/>
        <v>스토리위즈</v>
      </c>
      <c r="I794" t="str">
        <f t="shared" si="181"/>
        <v>간신이 나라를 살림</v>
      </c>
      <c r="J794">
        <v>100</v>
      </c>
      <c r="K794">
        <v>1100</v>
      </c>
      <c r="L794">
        <v>11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1100</v>
      </c>
      <c r="AH794">
        <v>11</v>
      </c>
      <c r="AI794">
        <v>0</v>
      </c>
      <c r="AJ794">
        <v>0</v>
      </c>
      <c r="AK794">
        <v>1100</v>
      </c>
      <c r="AL794">
        <v>0</v>
      </c>
      <c r="AM794">
        <v>0</v>
      </c>
      <c r="AN794">
        <v>0</v>
      </c>
      <c r="AO794">
        <v>0</v>
      </c>
      <c r="AP794">
        <v>770</v>
      </c>
      <c r="AT794" t="str">
        <f t="shared" si="182"/>
        <v>9791159284663</v>
      </c>
      <c r="AV794" t="str">
        <f t="shared" si="179"/>
        <v>판타지 웹소설 &gt; 퓨전 판타지</v>
      </c>
    </row>
    <row r="795" spans="1:48" x14ac:dyDescent="0.4">
      <c r="A795">
        <v>2313007845</v>
      </c>
      <c r="B795">
        <v>2313008025</v>
      </c>
      <c r="C795" t="str">
        <f>T("간신이 나라를 살림 181화")</f>
        <v>간신이 나라를 살림 181화</v>
      </c>
      <c r="D795" t="str">
        <f>T("181")</f>
        <v>181</v>
      </c>
      <c r="E795" t="str">
        <f t="shared" si="180"/>
        <v>루이세</v>
      </c>
      <c r="H795" t="str">
        <f t="shared" si="176"/>
        <v>스토리위즈</v>
      </c>
      <c r="I795" t="str">
        <f t="shared" si="181"/>
        <v>간신이 나라를 살림</v>
      </c>
      <c r="J795">
        <v>100</v>
      </c>
      <c r="K795">
        <v>1100</v>
      </c>
      <c r="L795">
        <v>11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1100</v>
      </c>
      <c r="AH795">
        <v>11</v>
      </c>
      <c r="AI795">
        <v>0</v>
      </c>
      <c r="AJ795">
        <v>0</v>
      </c>
      <c r="AK795">
        <v>1100</v>
      </c>
      <c r="AL795">
        <v>0</v>
      </c>
      <c r="AM795">
        <v>0</v>
      </c>
      <c r="AN795">
        <v>0</v>
      </c>
      <c r="AO795">
        <v>0</v>
      </c>
      <c r="AP795">
        <v>770</v>
      </c>
      <c r="AT795" t="str">
        <f t="shared" si="182"/>
        <v>9791159284663</v>
      </c>
      <c r="AV795" t="str">
        <f t="shared" si="179"/>
        <v>판타지 웹소설 &gt; 퓨전 판타지</v>
      </c>
    </row>
    <row r="796" spans="1:48" x14ac:dyDescent="0.4">
      <c r="A796">
        <v>2313007845</v>
      </c>
      <c r="B796">
        <v>2313008026</v>
      </c>
      <c r="C796" t="str">
        <f>T("간신이 나라를 살림 182화")</f>
        <v>간신이 나라를 살림 182화</v>
      </c>
      <c r="D796" t="str">
        <f>T("182")</f>
        <v>182</v>
      </c>
      <c r="E796" t="str">
        <f t="shared" si="180"/>
        <v>루이세</v>
      </c>
      <c r="H796" t="str">
        <f t="shared" si="176"/>
        <v>스토리위즈</v>
      </c>
      <c r="I796" t="str">
        <f t="shared" si="181"/>
        <v>간신이 나라를 살림</v>
      </c>
      <c r="J796">
        <v>100</v>
      </c>
      <c r="K796">
        <v>1100</v>
      </c>
      <c r="L796">
        <v>11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1100</v>
      </c>
      <c r="AH796">
        <v>11</v>
      </c>
      <c r="AI796">
        <v>0</v>
      </c>
      <c r="AJ796">
        <v>0</v>
      </c>
      <c r="AK796">
        <v>1100</v>
      </c>
      <c r="AL796">
        <v>0</v>
      </c>
      <c r="AM796">
        <v>0</v>
      </c>
      <c r="AN796">
        <v>0</v>
      </c>
      <c r="AO796">
        <v>0</v>
      </c>
      <c r="AP796">
        <v>770</v>
      </c>
      <c r="AT796" t="str">
        <f t="shared" si="182"/>
        <v>9791159284663</v>
      </c>
      <c r="AV796" t="str">
        <f t="shared" si="179"/>
        <v>판타지 웹소설 &gt; 퓨전 판타지</v>
      </c>
    </row>
    <row r="797" spans="1:48" x14ac:dyDescent="0.4">
      <c r="A797">
        <v>2313007845</v>
      </c>
      <c r="B797">
        <v>2313008027</v>
      </c>
      <c r="C797" t="str">
        <f>T("간신이 나라를 살림 183화")</f>
        <v>간신이 나라를 살림 183화</v>
      </c>
      <c r="D797" t="str">
        <f>T("183")</f>
        <v>183</v>
      </c>
      <c r="E797" t="str">
        <f t="shared" si="180"/>
        <v>루이세</v>
      </c>
      <c r="H797" t="str">
        <f t="shared" si="176"/>
        <v>스토리위즈</v>
      </c>
      <c r="I797" t="str">
        <f t="shared" si="181"/>
        <v>간신이 나라를 살림</v>
      </c>
      <c r="J797">
        <v>100</v>
      </c>
      <c r="K797">
        <v>1100</v>
      </c>
      <c r="L797">
        <v>11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1100</v>
      </c>
      <c r="AH797">
        <v>11</v>
      </c>
      <c r="AI797">
        <v>0</v>
      </c>
      <c r="AJ797">
        <v>0</v>
      </c>
      <c r="AK797">
        <v>1100</v>
      </c>
      <c r="AL797">
        <v>0</v>
      </c>
      <c r="AM797">
        <v>0</v>
      </c>
      <c r="AN797">
        <v>0</v>
      </c>
      <c r="AO797">
        <v>0</v>
      </c>
      <c r="AP797">
        <v>770</v>
      </c>
      <c r="AT797" t="str">
        <f t="shared" si="182"/>
        <v>9791159284663</v>
      </c>
      <c r="AV797" t="str">
        <f t="shared" si="179"/>
        <v>판타지 웹소설 &gt; 퓨전 판타지</v>
      </c>
    </row>
    <row r="798" spans="1:48" x14ac:dyDescent="0.4">
      <c r="A798">
        <v>2313007845</v>
      </c>
      <c r="B798">
        <v>2313008028</v>
      </c>
      <c r="C798" t="str">
        <f>T("간신이 나라를 살림 184화")</f>
        <v>간신이 나라를 살림 184화</v>
      </c>
      <c r="D798" t="str">
        <f>T("184")</f>
        <v>184</v>
      </c>
      <c r="E798" t="str">
        <f t="shared" si="180"/>
        <v>루이세</v>
      </c>
      <c r="H798" t="str">
        <f t="shared" si="176"/>
        <v>스토리위즈</v>
      </c>
      <c r="I798" t="str">
        <f t="shared" si="181"/>
        <v>간신이 나라를 살림</v>
      </c>
      <c r="J798">
        <v>100</v>
      </c>
      <c r="K798">
        <v>1100</v>
      </c>
      <c r="L798">
        <v>11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1100</v>
      </c>
      <c r="AH798">
        <v>11</v>
      </c>
      <c r="AI798">
        <v>0</v>
      </c>
      <c r="AJ798">
        <v>0</v>
      </c>
      <c r="AK798">
        <v>1100</v>
      </c>
      <c r="AL798">
        <v>0</v>
      </c>
      <c r="AM798">
        <v>0</v>
      </c>
      <c r="AN798">
        <v>0</v>
      </c>
      <c r="AO798">
        <v>0</v>
      </c>
      <c r="AP798">
        <v>770</v>
      </c>
      <c r="AT798" t="str">
        <f t="shared" si="182"/>
        <v>9791159284663</v>
      </c>
      <c r="AV798" t="str">
        <f t="shared" si="179"/>
        <v>판타지 웹소설 &gt; 퓨전 판타지</v>
      </c>
    </row>
    <row r="799" spans="1:48" x14ac:dyDescent="0.4">
      <c r="A799">
        <v>2313007845</v>
      </c>
      <c r="B799">
        <v>2313008029</v>
      </c>
      <c r="C799" t="str">
        <f>T("간신이 나라를 살림 185화")</f>
        <v>간신이 나라를 살림 185화</v>
      </c>
      <c r="D799" t="str">
        <f>T("185")</f>
        <v>185</v>
      </c>
      <c r="E799" t="str">
        <f t="shared" si="180"/>
        <v>루이세</v>
      </c>
      <c r="H799" t="str">
        <f t="shared" si="176"/>
        <v>스토리위즈</v>
      </c>
      <c r="I799" t="str">
        <f t="shared" si="181"/>
        <v>간신이 나라를 살림</v>
      </c>
      <c r="J799">
        <v>100</v>
      </c>
      <c r="K799">
        <v>1100</v>
      </c>
      <c r="L799">
        <v>11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1100</v>
      </c>
      <c r="AH799">
        <v>11</v>
      </c>
      <c r="AI799">
        <v>0</v>
      </c>
      <c r="AJ799">
        <v>0</v>
      </c>
      <c r="AK799">
        <v>1100</v>
      </c>
      <c r="AL799">
        <v>0</v>
      </c>
      <c r="AM799">
        <v>0</v>
      </c>
      <c r="AN799">
        <v>0</v>
      </c>
      <c r="AO799">
        <v>0</v>
      </c>
      <c r="AP799">
        <v>770</v>
      </c>
      <c r="AT799" t="str">
        <f t="shared" si="182"/>
        <v>9791159284663</v>
      </c>
      <c r="AV799" t="str">
        <f t="shared" si="179"/>
        <v>판타지 웹소설 &gt; 퓨전 판타지</v>
      </c>
    </row>
    <row r="800" spans="1:48" x14ac:dyDescent="0.4">
      <c r="A800">
        <v>2313007845</v>
      </c>
      <c r="B800">
        <v>2313008030</v>
      </c>
      <c r="C800" t="str">
        <f>T("간신이 나라를 살림 186화")</f>
        <v>간신이 나라를 살림 186화</v>
      </c>
      <c r="D800" t="str">
        <f>T("186")</f>
        <v>186</v>
      </c>
      <c r="E800" t="str">
        <f t="shared" si="180"/>
        <v>루이세</v>
      </c>
      <c r="H800" t="str">
        <f t="shared" si="176"/>
        <v>스토리위즈</v>
      </c>
      <c r="I800" t="str">
        <f t="shared" si="181"/>
        <v>간신이 나라를 살림</v>
      </c>
      <c r="J800">
        <v>100</v>
      </c>
      <c r="K800">
        <v>1100</v>
      </c>
      <c r="L800">
        <v>11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1100</v>
      </c>
      <c r="AH800">
        <v>11</v>
      </c>
      <c r="AI800">
        <v>0</v>
      </c>
      <c r="AJ800">
        <v>0</v>
      </c>
      <c r="AK800">
        <v>1100</v>
      </c>
      <c r="AL800">
        <v>0</v>
      </c>
      <c r="AM800">
        <v>0</v>
      </c>
      <c r="AN800">
        <v>0</v>
      </c>
      <c r="AO800">
        <v>0</v>
      </c>
      <c r="AP800">
        <v>770</v>
      </c>
      <c r="AT800" t="str">
        <f t="shared" si="182"/>
        <v>9791159284663</v>
      </c>
      <c r="AV800" t="str">
        <f t="shared" si="179"/>
        <v>판타지 웹소설 &gt; 퓨전 판타지</v>
      </c>
    </row>
    <row r="801" spans="1:48" x14ac:dyDescent="0.4">
      <c r="A801">
        <v>2313007845</v>
      </c>
      <c r="B801">
        <v>2313008031</v>
      </c>
      <c r="C801" t="str">
        <f>T("간신이 나라를 살림 187화")</f>
        <v>간신이 나라를 살림 187화</v>
      </c>
      <c r="D801" t="str">
        <f>T("187")</f>
        <v>187</v>
      </c>
      <c r="E801" t="str">
        <f t="shared" si="180"/>
        <v>루이세</v>
      </c>
      <c r="H801" t="str">
        <f t="shared" si="176"/>
        <v>스토리위즈</v>
      </c>
      <c r="I801" t="str">
        <f t="shared" si="181"/>
        <v>간신이 나라를 살림</v>
      </c>
      <c r="J801">
        <v>100</v>
      </c>
      <c r="K801">
        <v>1100</v>
      </c>
      <c r="L801">
        <v>11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1100</v>
      </c>
      <c r="AH801">
        <v>11</v>
      </c>
      <c r="AI801">
        <v>0</v>
      </c>
      <c r="AJ801">
        <v>0</v>
      </c>
      <c r="AK801">
        <v>1100</v>
      </c>
      <c r="AL801">
        <v>0</v>
      </c>
      <c r="AM801">
        <v>0</v>
      </c>
      <c r="AN801">
        <v>0</v>
      </c>
      <c r="AO801">
        <v>0</v>
      </c>
      <c r="AP801">
        <v>770</v>
      </c>
      <c r="AT801" t="str">
        <f t="shared" si="182"/>
        <v>9791159284663</v>
      </c>
      <c r="AV801" t="str">
        <f t="shared" si="179"/>
        <v>판타지 웹소설 &gt; 퓨전 판타지</v>
      </c>
    </row>
    <row r="802" spans="1:48" x14ac:dyDescent="0.4">
      <c r="A802">
        <v>2313007845</v>
      </c>
      <c r="B802">
        <v>2313008032</v>
      </c>
      <c r="C802" t="str">
        <f>T("간신이 나라를 살림 188화")</f>
        <v>간신이 나라를 살림 188화</v>
      </c>
      <c r="D802" t="str">
        <f>T("188")</f>
        <v>188</v>
      </c>
      <c r="E802" t="str">
        <f t="shared" si="180"/>
        <v>루이세</v>
      </c>
      <c r="H802" t="str">
        <f t="shared" si="176"/>
        <v>스토리위즈</v>
      </c>
      <c r="I802" t="str">
        <f t="shared" si="181"/>
        <v>간신이 나라를 살림</v>
      </c>
      <c r="J802">
        <v>100</v>
      </c>
      <c r="K802">
        <v>1100</v>
      </c>
      <c r="L802">
        <v>11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1100</v>
      </c>
      <c r="AH802">
        <v>11</v>
      </c>
      <c r="AI802">
        <v>0</v>
      </c>
      <c r="AJ802">
        <v>0</v>
      </c>
      <c r="AK802">
        <v>1100</v>
      </c>
      <c r="AL802">
        <v>0</v>
      </c>
      <c r="AM802">
        <v>0</v>
      </c>
      <c r="AN802">
        <v>0</v>
      </c>
      <c r="AO802">
        <v>0</v>
      </c>
      <c r="AP802">
        <v>770</v>
      </c>
      <c r="AT802" t="str">
        <f t="shared" si="182"/>
        <v>9791159284663</v>
      </c>
      <c r="AV802" t="str">
        <f t="shared" si="179"/>
        <v>판타지 웹소설 &gt; 퓨전 판타지</v>
      </c>
    </row>
    <row r="803" spans="1:48" x14ac:dyDescent="0.4">
      <c r="A803">
        <v>2313007845</v>
      </c>
      <c r="B803">
        <v>2313008033</v>
      </c>
      <c r="C803" t="str">
        <f>T("간신이 나라를 살림 189화")</f>
        <v>간신이 나라를 살림 189화</v>
      </c>
      <c r="D803" t="str">
        <f>T("189")</f>
        <v>189</v>
      </c>
      <c r="E803" t="str">
        <f t="shared" si="180"/>
        <v>루이세</v>
      </c>
      <c r="H803" t="str">
        <f t="shared" si="176"/>
        <v>스토리위즈</v>
      </c>
      <c r="I803" t="str">
        <f t="shared" si="181"/>
        <v>간신이 나라를 살림</v>
      </c>
      <c r="J803">
        <v>100</v>
      </c>
      <c r="K803">
        <v>1100</v>
      </c>
      <c r="L803">
        <v>11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1100</v>
      </c>
      <c r="AH803">
        <v>11</v>
      </c>
      <c r="AI803">
        <v>0</v>
      </c>
      <c r="AJ803">
        <v>0</v>
      </c>
      <c r="AK803">
        <v>1100</v>
      </c>
      <c r="AL803">
        <v>0</v>
      </c>
      <c r="AM803">
        <v>0</v>
      </c>
      <c r="AN803">
        <v>0</v>
      </c>
      <c r="AO803">
        <v>0</v>
      </c>
      <c r="AP803">
        <v>770</v>
      </c>
      <c r="AT803" t="str">
        <f t="shared" si="182"/>
        <v>9791159284663</v>
      </c>
      <c r="AV803" t="str">
        <f t="shared" si="179"/>
        <v>판타지 웹소설 &gt; 퓨전 판타지</v>
      </c>
    </row>
    <row r="804" spans="1:48" x14ac:dyDescent="0.4">
      <c r="A804">
        <v>2313007845</v>
      </c>
      <c r="B804">
        <v>2313008034</v>
      </c>
      <c r="C804" t="str">
        <f>T("간신이 나라를 살림 190화")</f>
        <v>간신이 나라를 살림 190화</v>
      </c>
      <c r="D804" t="str">
        <f>T("190")</f>
        <v>190</v>
      </c>
      <c r="E804" t="str">
        <f t="shared" si="180"/>
        <v>루이세</v>
      </c>
      <c r="H804" t="str">
        <f t="shared" si="176"/>
        <v>스토리위즈</v>
      </c>
      <c r="I804" t="str">
        <f t="shared" si="181"/>
        <v>간신이 나라를 살림</v>
      </c>
      <c r="J804">
        <v>100</v>
      </c>
      <c r="K804">
        <v>1100</v>
      </c>
      <c r="L804">
        <v>11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1100</v>
      </c>
      <c r="AH804">
        <v>11</v>
      </c>
      <c r="AI804">
        <v>0</v>
      </c>
      <c r="AJ804">
        <v>0</v>
      </c>
      <c r="AK804">
        <v>1100</v>
      </c>
      <c r="AL804">
        <v>0</v>
      </c>
      <c r="AM804">
        <v>0</v>
      </c>
      <c r="AN804">
        <v>0</v>
      </c>
      <c r="AO804">
        <v>0</v>
      </c>
      <c r="AP804">
        <v>770</v>
      </c>
      <c r="AT804" t="str">
        <f t="shared" si="182"/>
        <v>9791159284663</v>
      </c>
      <c r="AV804" t="str">
        <f t="shared" si="179"/>
        <v>판타지 웹소설 &gt; 퓨전 판타지</v>
      </c>
    </row>
    <row r="805" spans="1:48" x14ac:dyDescent="0.4">
      <c r="A805">
        <v>2313007845</v>
      </c>
      <c r="B805">
        <v>2313008035</v>
      </c>
      <c r="C805" t="str">
        <f>T("간신이 나라를 살림 191화")</f>
        <v>간신이 나라를 살림 191화</v>
      </c>
      <c r="D805" t="str">
        <f>T("191")</f>
        <v>191</v>
      </c>
      <c r="E805" t="str">
        <f t="shared" si="180"/>
        <v>루이세</v>
      </c>
      <c r="H805" t="str">
        <f t="shared" si="176"/>
        <v>스토리위즈</v>
      </c>
      <c r="I805" t="str">
        <f t="shared" si="181"/>
        <v>간신이 나라를 살림</v>
      </c>
      <c r="J805">
        <v>100</v>
      </c>
      <c r="K805">
        <v>1100</v>
      </c>
      <c r="L805">
        <v>11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1100</v>
      </c>
      <c r="AH805">
        <v>11</v>
      </c>
      <c r="AI805">
        <v>0</v>
      </c>
      <c r="AJ805">
        <v>0</v>
      </c>
      <c r="AK805">
        <v>1100</v>
      </c>
      <c r="AL805">
        <v>0</v>
      </c>
      <c r="AM805">
        <v>0</v>
      </c>
      <c r="AN805">
        <v>0</v>
      </c>
      <c r="AO805">
        <v>0</v>
      </c>
      <c r="AP805">
        <v>770</v>
      </c>
      <c r="AT805" t="str">
        <f t="shared" si="182"/>
        <v>9791159284663</v>
      </c>
      <c r="AV805" t="str">
        <f t="shared" si="179"/>
        <v>판타지 웹소설 &gt; 퓨전 판타지</v>
      </c>
    </row>
    <row r="806" spans="1:48" x14ac:dyDescent="0.4">
      <c r="A806">
        <v>2313007845</v>
      </c>
      <c r="B806">
        <v>2313008095</v>
      </c>
      <c r="C806" t="str">
        <f>T("간신이 나라를 살림 251화")</f>
        <v>간신이 나라를 살림 251화</v>
      </c>
      <c r="D806" t="str">
        <f>T("251")</f>
        <v>251</v>
      </c>
      <c r="E806" t="str">
        <f t="shared" si="180"/>
        <v>루이세</v>
      </c>
      <c r="H806" t="str">
        <f t="shared" si="176"/>
        <v>스토리위즈</v>
      </c>
      <c r="I806" t="str">
        <f t="shared" si="181"/>
        <v>간신이 나라를 살림</v>
      </c>
      <c r="J806">
        <v>100</v>
      </c>
      <c r="K806">
        <v>1100</v>
      </c>
      <c r="L806">
        <v>11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1100</v>
      </c>
      <c r="AH806">
        <v>11</v>
      </c>
      <c r="AI806">
        <v>0</v>
      </c>
      <c r="AJ806">
        <v>0</v>
      </c>
      <c r="AK806">
        <v>1100</v>
      </c>
      <c r="AL806">
        <v>0</v>
      </c>
      <c r="AM806">
        <v>0</v>
      </c>
      <c r="AN806">
        <v>0</v>
      </c>
      <c r="AO806">
        <v>0</v>
      </c>
      <c r="AP806">
        <v>770</v>
      </c>
      <c r="AT806" t="str">
        <f t="shared" si="182"/>
        <v>9791159284663</v>
      </c>
      <c r="AV806" t="str">
        <f t="shared" si="179"/>
        <v>판타지 웹소설 &gt; 퓨전 판타지</v>
      </c>
    </row>
    <row r="807" spans="1:48" x14ac:dyDescent="0.4">
      <c r="A807">
        <v>2313007845</v>
      </c>
      <c r="B807">
        <v>2313008097</v>
      </c>
      <c r="C807" t="str">
        <f>T("간신이 나라를 살림 253화")</f>
        <v>간신이 나라를 살림 253화</v>
      </c>
      <c r="D807" t="str">
        <f>T("253")</f>
        <v>253</v>
      </c>
      <c r="E807" t="str">
        <f t="shared" si="180"/>
        <v>루이세</v>
      </c>
      <c r="H807" t="str">
        <f t="shared" si="176"/>
        <v>스토리위즈</v>
      </c>
      <c r="I807" t="str">
        <f t="shared" si="181"/>
        <v>간신이 나라를 살림</v>
      </c>
      <c r="J807">
        <v>100</v>
      </c>
      <c r="K807">
        <v>1100</v>
      </c>
      <c r="L807">
        <v>11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1100</v>
      </c>
      <c r="AH807">
        <v>11</v>
      </c>
      <c r="AI807">
        <v>0</v>
      </c>
      <c r="AJ807">
        <v>0</v>
      </c>
      <c r="AK807">
        <v>1100</v>
      </c>
      <c r="AL807">
        <v>0</v>
      </c>
      <c r="AM807">
        <v>0</v>
      </c>
      <c r="AN807">
        <v>0</v>
      </c>
      <c r="AO807">
        <v>0</v>
      </c>
      <c r="AP807">
        <v>770</v>
      </c>
      <c r="AT807" t="str">
        <f t="shared" si="182"/>
        <v>9791159284663</v>
      </c>
      <c r="AV807" t="str">
        <f t="shared" si="179"/>
        <v>판타지 웹소설 &gt; 퓨전 판타지</v>
      </c>
    </row>
    <row r="808" spans="1:48" x14ac:dyDescent="0.4">
      <c r="A808">
        <v>2313007845</v>
      </c>
      <c r="B808">
        <v>2313008098</v>
      </c>
      <c r="C808" t="str">
        <f>T("간신이 나라를 살림 254화")</f>
        <v>간신이 나라를 살림 254화</v>
      </c>
      <c r="D808" t="str">
        <f>T("254")</f>
        <v>254</v>
      </c>
      <c r="E808" t="str">
        <f t="shared" si="180"/>
        <v>루이세</v>
      </c>
      <c r="H808" t="str">
        <f t="shared" si="176"/>
        <v>스토리위즈</v>
      </c>
      <c r="I808" t="str">
        <f t="shared" si="181"/>
        <v>간신이 나라를 살림</v>
      </c>
      <c r="J808">
        <v>100</v>
      </c>
      <c r="K808">
        <v>1100</v>
      </c>
      <c r="L808">
        <v>11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1100</v>
      </c>
      <c r="AH808">
        <v>11</v>
      </c>
      <c r="AI808">
        <v>0</v>
      </c>
      <c r="AJ808">
        <v>0</v>
      </c>
      <c r="AK808">
        <v>1100</v>
      </c>
      <c r="AL808">
        <v>0</v>
      </c>
      <c r="AM808">
        <v>0</v>
      </c>
      <c r="AN808">
        <v>0</v>
      </c>
      <c r="AO808">
        <v>0</v>
      </c>
      <c r="AP808">
        <v>770</v>
      </c>
      <c r="AT808" t="str">
        <f t="shared" si="182"/>
        <v>9791159284663</v>
      </c>
      <c r="AV808" t="str">
        <f t="shared" si="179"/>
        <v>판타지 웹소설 &gt; 퓨전 판타지</v>
      </c>
    </row>
    <row r="809" spans="1:48" x14ac:dyDescent="0.4">
      <c r="A809">
        <v>2313007845</v>
      </c>
      <c r="B809">
        <v>2313008099</v>
      </c>
      <c r="C809" t="str">
        <f>T("간신이 나라를 살림 255화")</f>
        <v>간신이 나라를 살림 255화</v>
      </c>
      <c r="D809" t="str">
        <f>T("255")</f>
        <v>255</v>
      </c>
      <c r="E809" t="str">
        <f t="shared" si="180"/>
        <v>루이세</v>
      </c>
      <c r="H809" t="str">
        <f t="shared" si="176"/>
        <v>스토리위즈</v>
      </c>
      <c r="I809" t="str">
        <f t="shared" si="181"/>
        <v>간신이 나라를 살림</v>
      </c>
      <c r="J809">
        <v>100</v>
      </c>
      <c r="K809">
        <v>1100</v>
      </c>
      <c r="L809">
        <v>11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1100</v>
      </c>
      <c r="AH809">
        <v>11</v>
      </c>
      <c r="AI809">
        <v>0</v>
      </c>
      <c r="AJ809">
        <v>0</v>
      </c>
      <c r="AK809">
        <v>1100</v>
      </c>
      <c r="AL809">
        <v>0</v>
      </c>
      <c r="AM809">
        <v>0</v>
      </c>
      <c r="AN809">
        <v>0</v>
      </c>
      <c r="AO809">
        <v>0</v>
      </c>
      <c r="AP809">
        <v>770</v>
      </c>
      <c r="AT809" t="str">
        <f t="shared" si="182"/>
        <v>9791159284663</v>
      </c>
      <c r="AV809" t="str">
        <f t="shared" si="179"/>
        <v>판타지 웹소설 &gt; 퓨전 판타지</v>
      </c>
    </row>
    <row r="810" spans="1:48" x14ac:dyDescent="0.4">
      <c r="A810">
        <v>2313007845</v>
      </c>
      <c r="B810">
        <v>2313008100</v>
      </c>
      <c r="C810" t="str">
        <f>T("간신이 나라를 살림 256화")</f>
        <v>간신이 나라를 살림 256화</v>
      </c>
      <c r="D810" t="str">
        <f>T("256")</f>
        <v>256</v>
      </c>
      <c r="E810" t="str">
        <f t="shared" si="180"/>
        <v>루이세</v>
      </c>
      <c r="H810" t="str">
        <f t="shared" si="176"/>
        <v>스토리위즈</v>
      </c>
      <c r="I810" t="str">
        <f t="shared" si="181"/>
        <v>간신이 나라를 살림</v>
      </c>
      <c r="J810">
        <v>100</v>
      </c>
      <c r="K810">
        <v>1100</v>
      </c>
      <c r="L810">
        <v>11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1100</v>
      </c>
      <c r="AH810">
        <v>11</v>
      </c>
      <c r="AI810">
        <v>0</v>
      </c>
      <c r="AJ810">
        <v>0</v>
      </c>
      <c r="AK810">
        <v>1100</v>
      </c>
      <c r="AL810">
        <v>0</v>
      </c>
      <c r="AM810">
        <v>0</v>
      </c>
      <c r="AN810">
        <v>0</v>
      </c>
      <c r="AO810">
        <v>0</v>
      </c>
      <c r="AP810">
        <v>770</v>
      </c>
      <c r="AT810" t="str">
        <f t="shared" si="182"/>
        <v>9791159284663</v>
      </c>
      <c r="AV810" t="str">
        <f t="shared" si="179"/>
        <v>판타지 웹소설 &gt; 퓨전 판타지</v>
      </c>
    </row>
    <row r="811" spans="1:48" x14ac:dyDescent="0.4">
      <c r="A811">
        <v>2313007845</v>
      </c>
      <c r="B811">
        <v>2313008101</v>
      </c>
      <c r="C811" t="str">
        <f>T("간신이 나라를 살림 257화")</f>
        <v>간신이 나라를 살림 257화</v>
      </c>
      <c r="D811" t="str">
        <f>T("257")</f>
        <v>257</v>
      </c>
      <c r="E811" t="str">
        <f t="shared" si="180"/>
        <v>루이세</v>
      </c>
      <c r="H811" t="str">
        <f t="shared" si="176"/>
        <v>스토리위즈</v>
      </c>
      <c r="I811" t="str">
        <f t="shared" si="181"/>
        <v>간신이 나라를 살림</v>
      </c>
      <c r="J811">
        <v>100</v>
      </c>
      <c r="K811">
        <v>1100</v>
      </c>
      <c r="L811">
        <v>11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1100</v>
      </c>
      <c r="AH811">
        <v>11</v>
      </c>
      <c r="AI811">
        <v>0</v>
      </c>
      <c r="AJ811">
        <v>0</v>
      </c>
      <c r="AK811">
        <v>1100</v>
      </c>
      <c r="AL811">
        <v>0</v>
      </c>
      <c r="AM811">
        <v>0</v>
      </c>
      <c r="AN811">
        <v>0</v>
      </c>
      <c r="AO811">
        <v>0</v>
      </c>
      <c r="AP811">
        <v>770</v>
      </c>
      <c r="AT811" t="str">
        <f t="shared" si="182"/>
        <v>9791159284663</v>
      </c>
      <c r="AV811" t="str">
        <f t="shared" si="179"/>
        <v>판타지 웹소설 &gt; 퓨전 판타지</v>
      </c>
    </row>
    <row r="812" spans="1:48" x14ac:dyDescent="0.4">
      <c r="A812">
        <v>2313011955</v>
      </c>
      <c r="B812">
        <v>2313012008</v>
      </c>
      <c r="C812" t="str">
        <f>T("갓 오브 블랙필드 54화")</f>
        <v>갓 오브 블랙필드 54화</v>
      </c>
      <c r="D812" t="str">
        <f>T("54")</f>
        <v>54</v>
      </c>
      <c r="E812" t="str">
        <f t="shared" ref="E812:E829" si="183">T("무장")</f>
        <v>무장</v>
      </c>
      <c r="H812" t="str">
        <f t="shared" si="176"/>
        <v>스토리위즈</v>
      </c>
      <c r="I812" t="str">
        <f t="shared" ref="I812:I829" si="184">T("갓 오브 블랙필드")</f>
        <v>갓 오브 블랙필드</v>
      </c>
      <c r="J812">
        <v>100</v>
      </c>
      <c r="K812">
        <v>1100</v>
      </c>
      <c r="L812">
        <v>11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1100</v>
      </c>
      <c r="AH812">
        <v>11</v>
      </c>
      <c r="AI812">
        <v>0</v>
      </c>
      <c r="AJ812">
        <v>0</v>
      </c>
      <c r="AK812">
        <v>1100</v>
      </c>
      <c r="AL812">
        <v>0</v>
      </c>
      <c r="AM812">
        <v>0</v>
      </c>
      <c r="AN812">
        <v>0</v>
      </c>
      <c r="AO812">
        <v>0</v>
      </c>
      <c r="AP812">
        <v>770</v>
      </c>
      <c r="AT812" t="str">
        <f t="shared" ref="AT812:AT829" si="185">T("9791137602113")</f>
        <v>9791137602113</v>
      </c>
      <c r="AV812" t="str">
        <f t="shared" ref="AV812:AV829" si="186">T("판타지 웹소설 &gt; 현대 판타지")</f>
        <v>판타지 웹소설 &gt; 현대 판타지</v>
      </c>
    </row>
    <row r="813" spans="1:48" x14ac:dyDescent="0.4">
      <c r="A813">
        <v>2313011955</v>
      </c>
      <c r="B813">
        <v>2313012041</v>
      </c>
      <c r="C813" t="str">
        <f>T("갓 오브 블랙필드 87화")</f>
        <v>갓 오브 블랙필드 87화</v>
      </c>
      <c r="D813" t="str">
        <f>T("87")</f>
        <v>87</v>
      </c>
      <c r="E813" t="str">
        <f t="shared" si="183"/>
        <v>무장</v>
      </c>
      <c r="H813" t="str">
        <f t="shared" si="176"/>
        <v>스토리위즈</v>
      </c>
      <c r="I813" t="str">
        <f t="shared" si="184"/>
        <v>갓 오브 블랙필드</v>
      </c>
      <c r="J813">
        <v>100</v>
      </c>
      <c r="K813">
        <v>1100</v>
      </c>
      <c r="L813">
        <v>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1100</v>
      </c>
      <c r="AH813">
        <v>11</v>
      </c>
      <c r="AI813">
        <v>0</v>
      </c>
      <c r="AJ813">
        <v>0</v>
      </c>
      <c r="AK813">
        <v>1100</v>
      </c>
      <c r="AL813">
        <v>0</v>
      </c>
      <c r="AM813">
        <v>0</v>
      </c>
      <c r="AN813">
        <v>0</v>
      </c>
      <c r="AO813">
        <v>0</v>
      </c>
      <c r="AP813">
        <v>770</v>
      </c>
      <c r="AT813" t="str">
        <f t="shared" si="185"/>
        <v>9791137602113</v>
      </c>
      <c r="AV813" t="str">
        <f t="shared" si="186"/>
        <v>판타지 웹소설 &gt; 현대 판타지</v>
      </c>
    </row>
    <row r="814" spans="1:48" x14ac:dyDescent="0.4">
      <c r="A814">
        <v>2313011955</v>
      </c>
      <c r="B814">
        <v>2313012044</v>
      </c>
      <c r="C814" t="str">
        <f>T("갓 오브 블랙필드 90화")</f>
        <v>갓 오브 블랙필드 90화</v>
      </c>
      <c r="D814" t="str">
        <f>T("90")</f>
        <v>90</v>
      </c>
      <c r="E814" t="str">
        <f t="shared" si="183"/>
        <v>무장</v>
      </c>
      <c r="H814" t="str">
        <f t="shared" si="176"/>
        <v>스토리위즈</v>
      </c>
      <c r="I814" t="str">
        <f t="shared" si="184"/>
        <v>갓 오브 블랙필드</v>
      </c>
      <c r="J814">
        <v>100</v>
      </c>
      <c r="K814">
        <v>1100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1100</v>
      </c>
      <c r="AH814">
        <v>11</v>
      </c>
      <c r="AI814">
        <v>0</v>
      </c>
      <c r="AJ814">
        <v>0</v>
      </c>
      <c r="AK814">
        <v>1100</v>
      </c>
      <c r="AL814">
        <v>0</v>
      </c>
      <c r="AM814">
        <v>0</v>
      </c>
      <c r="AN814">
        <v>0</v>
      </c>
      <c r="AO814">
        <v>0</v>
      </c>
      <c r="AP814">
        <v>770</v>
      </c>
      <c r="AT814" t="str">
        <f t="shared" si="185"/>
        <v>9791137602113</v>
      </c>
      <c r="AV814" t="str">
        <f t="shared" si="186"/>
        <v>판타지 웹소설 &gt; 현대 판타지</v>
      </c>
    </row>
    <row r="815" spans="1:48" x14ac:dyDescent="0.4">
      <c r="A815">
        <v>2313011955</v>
      </c>
      <c r="B815">
        <v>2313012045</v>
      </c>
      <c r="C815" t="str">
        <f>T("갓 오브 블랙필드 91화")</f>
        <v>갓 오브 블랙필드 91화</v>
      </c>
      <c r="D815" t="str">
        <f>T("91")</f>
        <v>91</v>
      </c>
      <c r="E815" t="str">
        <f t="shared" si="183"/>
        <v>무장</v>
      </c>
      <c r="H815" t="str">
        <f t="shared" si="176"/>
        <v>스토리위즈</v>
      </c>
      <c r="I815" t="str">
        <f t="shared" si="184"/>
        <v>갓 오브 블랙필드</v>
      </c>
      <c r="J815">
        <v>100</v>
      </c>
      <c r="K815">
        <v>1100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1100</v>
      </c>
      <c r="AH815">
        <v>11</v>
      </c>
      <c r="AI815">
        <v>0</v>
      </c>
      <c r="AJ815">
        <v>0</v>
      </c>
      <c r="AK815">
        <v>1100</v>
      </c>
      <c r="AL815">
        <v>0</v>
      </c>
      <c r="AM815">
        <v>0</v>
      </c>
      <c r="AN815">
        <v>0</v>
      </c>
      <c r="AO815">
        <v>0</v>
      </c>
      <c r="AP815">
        <v>770</v>
      </c>
      <c r="AT815" t="str">
        <f t="shared" si="185"/>
        <v>9791137602113</v>
      </c>
      <c r="AV815" t="str">
        <f t="shared" si="186"/>
        <v>판타지 웹소설 &gt; 현대 판타지</v>
      </c>
    </row>
    <row r="816" spans="1:48" x14ac:dyDescent="0.4">
      <c r="A816">
        <v>2313011955</v>
      </c>
      <c r="B816">
        <v>2313012046</v>
      </c>
      <c r="C816" t="str">
        <f>T("갓 오브 블랙필드 92화")</f>
        <v>갓 오브 블랙필드 92화</v>
      </c>
      <c r="D816" t="str">
        <f>T("92")</f>
        <v>92</v>
      </c>
      <c r="E816" t="str">
        <f t="shared" si="183"/>
        <v>무장</v>
      </c>
      <c r="H816" t="str">
        <f t="shared" si="176"/>
        <v>스토리위즈</v>
      </c>
      <c r="I816" t="str">
        <f t="shared" si="184"/>
        <v>갓 오브 블랙필드</v>
      </c>
      <c r="J816">
        <v>100</v>
      </c>
      <c r="K816">
        <v>1100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1100</v>
      </c>
      <c r="AH816">
        <v>11</v>
      </c>
      <c r="AI816">
        <v>0</v>
      </c>
      <c r="AJ816">
        <v>0</v>
      </c>
      <c r="AK816">
        <v>1100</v>
      </c>
      <c r="AL816">
        <v>0</v>
      </c>
      <c r="AM816">
        <v>0</v>
      </c>
      <c r="AN816">
        <v>0</v>
      </c>
      <c r="AO816">
        <v>0</v>
      </c>
      <c r="AP816">
        <v>770</v>
      </c>
      <c r="AT816" t="str">
        <f t="shared" si="185"/>
        <v>9791137602113</v>
      </c>
      <c r="AV816" t="str">
        <f t="shared" si="186"/>
        <v>판타지 웹소설 &gt; 현대 판타지</v>
      </c>
    </row>
    <row r="817" spans="1:48" x14ac:dyDescent="0.4">
      <c r="A817">
        <v>2313011955</v>
      </c>
      <c r="B817">
        <v>2313012047</v>
      </c>
      <c r="C817" t="str">
        <f>T("갓 오브 블랙필드 93화")</f>
        <v>갓 오브 블랙필드 93화</v>
      </c>
      <c r="D817" t="str">
        <f>T("93")</f>
        <v>93</v>
      </c>
      <c r="E817" t="str">
        <f t="shared" si="183"/>
        <v>무장</v>
      </c>
      <c r="H817" t="str">
        <f t="shared" si="176"/>
        <v>스토리위즈</v>
      </c>
      <c r="I817" t="str">
        <f t="shared" si="184"/>
        <v>갓 오브 블랙필드</v>
      </c>
      <c r="J817">
        <v>100</v>
      </c>
      <c r="K817">
        <v>1100</v>
      </c>
      <c r="L817">
        <v>11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1100</v>
      </c>
      <c r="AH817">
        <v>11</v>
      </c>
      <c r="AI817">
        <v>0</v>
      </c>
      <c r="AJ817">
        <v>0</v>
      </c>
      <c r="AK817">
        <v>1100</v>
      </c>
      <c r="AL817">
        <v>0</v>
      </c>
      <c r="AM817">
        <v>0</v>
      </c>
      <c r="AN817">
        <v>0</v>
      </c>
      <c r="AO817">
        <v>0</v>
      </c>
      <c r="AP817">
        <v>770</v>
      </c>
      <c r="AT817" t="str">
        <f t="shared" si="185"/>
        <v>9791137602113</v>
      </c>
      <c r="AV817" t="str">
        <f t="shared" si="186"/>
        <v>판타지 웹소설 &gt; 현대 판타지</v>
      </c>
    </row>
    <row r="818" spans="1:48" x14ac:dyDescent="0.4">
      <c r="A818">
        <v>2313011955</v>
      </c>
      <c r="B818">
        <v>2313012048</v>
      </c>
      <c r="C818" t="str">
        <f>T("갓 오브 블랙필드 94화")</f>
        <v>갓 오브 블랙필드 94화</v>
      </c>
      <c r="D818" t="str">
        <f>T("94")</f>
        <v>94</v>
      </c>
      <c r="E818" t="str">
        <f t="shared" si="183"/>
        <v>무장</v>
      </c>
      <c r="H818" t="str">
        <f t="shared" si="176"/>
        <v>스토리위즈</v>
      </c>
      <c r="I818" t="str">
        <f t="shared" si="184"/>
        <v>갓 오브 블랙필드</v>
      </c>
      <c r="J818">
        <v>100</v>
      </c>
      <c r="K818">
        <v>1100</v>
      </c>
      <c r="L818">
        <v>11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1100</v>
      </c>
      <c r="AH818">
        <v>11</v>
      </c>
      <c r="AI818">
        <v>0</v>
      </c>
      <c r="AJ818">
        <v>0</v>
      </c>
      <c r="AK818">
        <v>1100</v>
      </c>
      <c r="AL818">
        <v>0</v>
      </c>
      <c r="AM818">
        <v>0</v>
      </c>
      <c r="AN818">
        <v>0</v>
      </c>
      <c r="AO818">
        <v>0</v>
      </c>
      <c r="AP818">
        <v>770</v>
      </c>
      <c r="AT818" t="str">
        <f t="shared" si="185"/>
        <v>9791137602113</v>
      </c>
      <c r="AV818" t="str">
        <f t="shared" si="186"/>
        <v>판타지 웹소설 &gt; 현대 판타지</v>
      </c>
    </row>
    <row r="819" spans="1:48" x14ac:dyDescent="0.4">
      <c r="A819">
        <v>2313011955</v>
      </c>
      <c r="B819">
        <v>2313012049</v>
      </c>
      <c r="C819" t="str">
        <f>T("갓 오브 블랙필드 95화")</f>
        <v>갓 오브 블랙필드 95화</v>
      </c>
      <c r="D819" t="str">
        <f>T("95")</f>
        <v>95</v>
      </c>
      <c r="E819" t="str">
        <f t="shared" si="183"/>
        <v>무장</v>
      </c>
      <c r="H819" t="str">
        <f t="shared" si="176"/>
        <v>스토리위즈</v>
      </c>
      <c r="I819" t="str">
        <f t="shared" si="184"/>
        <v>갓 오브 블랙필드</v>
      </c>
      <c r="J819">
        <v>100</v>
      </c>
      <c r="K819">
        <v>1100</v>
      </c>
      <c r="L819">
        <v>11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1100</v>
      </c>
      <c r="AH819">
        <v>11</v>
      </c>
      <c r="AI819">
        <v>0</v>
      </c>
      <c r="AJ819">
        <v>0</v>
      </c>
      <c r="AK819">
        <v>1100</v>
      </c>
      <c r="AL819">
        <v>0</v>
      </c>
      <c r="AM819">
        <v>0</v>
      </c>
      <c r="AN819">
        <v>0</v>
      </c>
      <c r="AO819">
        <v>0</v>
      </c>
      <c r="AP819">
        <v>770</v>
      </c>
      <c r="AT819" t="str">
        <f t="shared" si="185"/>
        <v>9791137602113</v>
      </c>
      <c r="AV819" t="str">
        <f t="shared" si="186"/>
        <v>판타지 웹소설 &gt; 현대 판타지</v>
      </c>
    </row>
    <row r="820" spans="1:48" x14ac:dyDescent="0.4">
      <c r="A820">
        <v>2313011955</v>
      </c>
      <c r="B820">
        <v>2313012051</v>
      </c>
      <c r="C820" t="str">
        <f>T("갓 오브 블랙필드 97화")</f>
        <v>갓 오브 블랙필드 97화</v>
      </c>
      <c r="D820" t="str">
        <f>T("97")</f>
        <v>97</v>
      </c>
      <c r="E820" t="str">
        <f t="shared" si="183"/>
        <v>무장</v>
      </c>
      <c r="H820" t="str">
        <f t="shared" si="176"/>
        <v>스토리위즈</v>
      </c>
      <c r="I820" t="str">
        <f t="shared" si="184"/>
        <v>갓 오브 블랙필드</v>
      </c>
      <c r="J820">
        <v>100</v>
      </c>
      <c r="K820">
        <v>1100</v>
      </c>
      <c r="L820">
        <v>11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1100</v>
      </c>
      <c r="AH820">
        <v>11</v>
      </c>
      <c r="AI820">
        <v>0</v>
      </c>
      <c r="AJ820">
        <v>0</v>
      </c>
      <c r="AK820">
        <v>1100</v>
      </c>
      <c r="AL820">
        <v>0</v>
      </c>
      <c r="AM820">
        <v>0</v>
      </c>
      <c r="AN820">
        <v>0</v>
      </c>
      <c r="AO820">
        <v>0</v>
      </c>
      <c r="AP820">
        <v>770</v>
      </c>
      <c r="AT820" t="str">
        <f t="shared" si="185"/>
        <v>9791137602113</v>
      </c>
      <c r="AV820" t="str">
        <f t="shared" si="186"/>
        <v>판타지 웹소설 &gt; 현대 판타지</v>
      </c>
    </row>
    <row r="821" spans="1:48" x14ac:dyDescent="0.4">
      <c r="A821">
        <v>2313011955</v>
      </c>
      <c r="B821">
        <v>2313012052</v>
      </c>
      <c r="C821" t="str">
        <f>T("갓 오브 블랙필드 98화")</f>
        <v>갓 오브 블랙필드 98화</v>
      </c>
      <c r="D821" t="str">
        <f>T("98")</f>
        <v>98</v>
      </c>
      <c r="E821" t="str">
        <f t="shared" si="183"/>
        <v>무장</v>
      </c>
      <c r="H821" t="str">
        <f t="shared" si="176"/>
        <v>스토리위즈</v>
      </c>
      <c r="I821" t="str">
        <f t="shared" si="184"/>
        <v>갓 오브 블랙필드</v>
      </c>
      <c r="J821">
        <v>100</v>
      </c>
      <c r="K821">
        <v>1100</v>
      </c>
      <c r="L821">
        <v>11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1100</v>
      </c>
      <c r="AH821">
        <v>11</v>
      </c>
      <c r="AI821">
        <v>0</v>
      </c>
      <c r="AJ821">
        <v>0</v>
      </c>
      <c r="AK821">
        <v>1100</v>
      </c>
      <c r="AL821">
        <v>0</v>
      </c>
      <c r="AM821">
        <v>0</v>
      </c>
      <c r="AN821">
        <v>0</v>
      </c>
      <c r="AO821">
        <v>0</v>
      </c>
      <c r="AP821">
        <v>770</v>
      </c>
      <c r="AT821" t="str">
        <f t="shared" si="185"/>
        <v>9791137602113</v>
      </c>
      <c r="AV821" t="str">
        <f t="shared" si="186"/>
        <v>판타지 웹소설 &gt; 현대 판타지</v>
      </c>
    </row>
    <row r="822" spans="1:48" x14ac:dyDescent="0.4">
      <c r="A822">
        <v>2313011955</v>
      </c>
      <c r="B822">
        <v>2313012053</v>
      </c>
      <c r="C822" t="str">
        <f>T("갓 오브 블랙필드 99화")</f>
        <v>갓 오브 블랙필드 99화</v>
      </c>
      <c r="D822" t="str">
        <f>T("99")</f>
        <v>99</v>
      </c>
      <c r="E822" t="str">
        <f t="shared" si="183"/>
        <v>무장</v>
      </c>
      <c r="H822" t="str">
        <f t="shared" si="176"/>
        <v>스토리위즈</v>
      </c>
      <c r="I822" t="str">
        <f t="shared" si="184"/>
        <v>갓 오브 블랙필드</v>
      </c>
      <c r="J822">
        <v>100</v>
      </c>
      <c r="K822">
        <v>1100</v>
      </c>
      <c r="L822">
        <v>11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1100</v>
      </c>
      <c r="AH822">
        <v>11</v>
      </c>
      <c r="AI822">
        <v>0</v>
      </c>
      <c r="AJ822">
        <v>0</v>
      </c>
      <c r="AK822">
        <v>1100</v>
      </c>
      <c r="AL822">
        <v>0</v>
      </c>
      <c r="AM822">
        <v>0</v>
      </c>
      <c r="AN822">
        <v>0</v>
      </c>
      <c r="AO822">
        <v>0</v>
      </c>
      <c r="AP822">
        <v>770</v>
      </c>
      <c r="AT822" t="str">
        <f t="shared" si="185"/>
        <v>9791137602113</v>
      </c>
      <c r="AV822" t="str">
        <f t="shared" si="186"/>
        <v>판타지 웹소설 &gt; 현대 판타지</v>
      </c>
    </row>
    <row r="823" spans="1:48" x14ac:dyDescent="0.4">
      <c r="A823">
        <v>2313011955</v>
      </c>
      <c r="B823">
        <v>2313012054</v>
      </c>
      <c r="C823" t="str">
        <f>T("갓 오브 블랙필드 100화")</f>
        <v>갓 오브 블랙필드 100화</v>
      </c>
      <c r="D823" t="str">
        <f>T("100")</f>
        <v>100</v>
      </c>
      <c r="E823" t="str">
        <f t="shared" si="183"/>
        <v>무장</v>
      </c>
      <c r="H823" t="str">
        <f t="shared" si="176"/>
        <v>스토리위즈</v>
      </c>
      <c r="I823" t="str">
        <f t="shared" si="184"/>
        <v>갓 오브 블랙필드</v>
      </c>
      <c r="J823">
        <v>100</v>
      </c>
      <c r="K823">
        <v>1100</v>
      </c>
      <c r="L823">
        <v>11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1100</v>
      </c>
      <c r="AH823">
        <v>11</v>
      </c>
      <c r="AI823">
        <v>0</v>
      </c>
      <c r="AJ823">
        <v>0</v>
      </c>
      <c r="AK823">
        <v>1100</v>
      </c>
      <c r="AL823">
        <v>0</v>
      </c>
      <c r="AM823">
        <v>0</v>
      </c>
      <c r="AN823">
        <v>0</v>
      </c>
      <c r="AO823">
        <v>0</v>
      </c>
      <c r="AP823">
        <v>770</v>
      </c>
      <c r="AT823" t="str">
        <f t="shared" si="185"/>
        <v>9791137602113</v>
      </c>
      <c r="AV823" t="str">
        <f t="shared" si="186"/>
        <v>판타지 웹소설 &gt; 현대 판타지</v>
      </c>
    </row>
    <row r="824" spans="1:48" x14ac:dyDescent="0.4">
      <c r="A824">
        <v>2313011955</v>
      </c>
      <c r="B824">
        <v>2313012055</v>
      </c>
      <c r="C824" t="str">
        <f>T("갓 오브 블랙필드 101화")</f>
        <v>갓 오브 블랙필드 101화</v>
      </c>
      <c r="D824" t="str">
        <f>T("101")</f>
        <v>101</v>
      </c>
      <c r="E824" t="str">
        <f t="shared" si="183"/>
        <v>무장</v>
      </c>
      <c r="H824" t="str">
        <f t="shared" si="176"/>
        <v>스토리위즈</v>
      </c>
      <c r="I824" t="str">
        <f t="shared" si="184"/>
        <v>갓 오브 블랙필드</v>
      </c>
      <c r="J824">
        <v>100</v>
      </c>
      <c r="K824">
        <v>1100</v>
      </c>
      <c r="L824">
        <v>11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1100</v>
      </c>
      <c r="AH824">
        <v>11</v>
      </c>
      <c r="AI824">
        <v>0</v>
      </c>
      <c r="AJ824">
        <v>0</v>
      </c>
      <c r="AK824">
        <v>1100</v>
      </c>
      <c r="AL824">
        <v>0</v>
      </c>
      <c r="AM824">
        <v>0</v>
      </c>
      <c r="AN824">
        <v>0</v>
      </c>
      <c r="AO824">
        <v>0</v>
      </c>
      <c r="AP824">
        <v>770</v>
      </c>
      <c r="AT824" t="str">
        <f t="shared" si="185"/>
        <v>9791137602113</v>
      </c>
      <c r="AV824" t="str">
        <f t="shared" si="186"/>
        <v>판타지 웹소설 &gt; 현대 판타지</v>
      </c>
    </row>
    <row r="825" spans="1:48" x14ac:dyDescent="0.4">
      <c r="A825">
        <v>2313011955</v>
      </c>
      <c r="B825">
        <v>2313012056</v>
      </c>
      <c r="C825" t="str">
        <f>T("갓 오브 블랙필드 102화")</f>
        <v>갓 오브 블랙필드 102화</v>
      </c>
      <c r="D825" t="str">
        <f>T("102")</f>
        <v>102</v>
      </c>
      <c r="E825" t="str">
        <f t="shared" si="183"/>
        <v>무장</v>
      </c>
      <c r="H825" t="str">
        <f t="shared" si="176"/>
        <v>스토리위즈</v>
      </c>
      <c r="I825" t="str">
        <f t="shared" si="184"/>
        <v>갓 오브 블랙필드</v>
      </c>
      <c r="J825">
        <v>100</v>
      </c>
      <c r="K825">
        <v>1100</v>
      </c>
      <c r="L825">
        <v>11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1100</v>
      </c>
      <c r="AH825">
        <v>11</v>
      </c>
      <c r="AI825">
        <v>0</v>
      </c>
      <c r="AJ825">
        <v>0</v>
      </c>
      <c r="AK825">
        <v>1100</v>
      </c>
      <c r="AL825">
        <v>0</v>
      </c>
      <c r="AM825">
        <v>0</v>
      </c>
      <c r="AN825">
        <v>0</v>
      </c>
      <c r="AO825">
        <v>0</v>
      </c>
      <c r="AP825">
        <v>770</v>
      </c>
      <c r="AT825" t="str">
        <f t="shared" si="185"/>
        <v>9791137602113</v>
      </c>
      <c r="AV825" t="str">
        <f t="shared" si="186"/>
        <v>판타지 웹소설 &gt; 현대 판타지</v>
      </c>
    </row>
    <row r="826" spans="1:48" x14ac:dyDescent="0.4">
      <c r="A826">
        <v>2313011955</v>
      </c>
      <c r="B826">
        <v>2313012057</v>
      </c>
      <c r="C826" t="str">
        <f>T("갓 오브 블랙필드 103화")</f>
        <v>갓 오브 블랙필드 103화</v>
      </c>
      <c r="D826" t="str">
        <f>T("103")</f>
        <v>103</v>
      </c>
      <c r="E826" t="str">
        <f t="shared" si="183"/>
        <v>무장</v>
      </c>
      <c r="H826" t="str">
        <f t="shared" si="176"/>
        <v>스토리위즈</v>
      </c>
      <c r="I826" t="str">
        <f t="shared" si="184"/>
        <v>갓 오브 블랙필드</v>
      </c>
      <c r="J826">
        <v>100</v>
      </c>
      <c r="K826">
        <v>1100</v>
      </c>
      <c r="L826">
        <v>11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1100</v>
      </c>
      <c r="AH826">
        <v>11</v>
      </c>
      <c r="AI826">
        <v>0</v>
      </c>
      <c r="AJ826">
        <v>0</v>
      </c>
      <c r="AK826">
        <v>1100</v>
      </c>
      <c r="AL826">
        <v>0</v>
      </c>
      <c r="AM826">
        <v>0</v>
      </c>
      <c r="AN826">
        <v>0</v>
      </c>
      <c r="AO826">
        <v>0</v>
      </c>
      <c r="AP826">
        <v>770</v>
      </c>
      <c r="AT826" t="str">
        <f t="shared" si="185"/>
        <v>9791137602113</v>
      </c>
      <c r="AV826" t="str">
        <f t="shared" si="186"/>
        <v>판타지 웹소설 &gt; 현대 판타지</v>
      </c>
    </row>
    <row r="827" spans="1:48" x14ac:dyDescent="0.4">
      <c r="A827">
        <v>2313011955</v>
      </c>
      <c r="B827">
        <v>2313012058</v>
      </c>
      <c r="C827" t="str">
        <f>T("갓 오브 블랙필드 104화")</f>
        <v>갓 오브 블랙필드 104화</v>
      </c>
      <c r="D827" t="str">
        <f>T("104")</f>
        <v>104</v>
      </c>
      <c r="E827" t="str">
        <f t="shared" si="183"/>
        <v>무장</v>
      </c>
      <c r="H827" t="str">
        <f t="shared" si="176"/>
        <v>스토리위즈</v>
      </c>
      <c r="I827" t="str">
        <f t="shared" si="184"/>
        <v>갓 오브 블랙필드</v>
      </c>
      <c r="J827">
        <v>100</v>
      </c>
      <c r="K827">
        <v>1100</v>
      </c>
      <c r="L827">
        <v>11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1100</v>
      </c>
      <c r="AH827">
        <v>11</v>
      </c>
      <c r="AI827">
        <v>0</v>
      </c>
      <c r="AJ827">
        <v>0</v>
      </c>
      <c r="AK827">
        <v>1100</v>
      </c>
      <c r="AL827">
        <v>0</v>
      </c>
      <c r="AM827">
        <v>0</v>
      </c>
      <c r="AN827">
        <v>0</v>
      </c>
      <c r="AO827">
        <v>0</v>
      </c>
      <c r="AP827">
        <v>770</v>
      </c>
      <c r="AT827" t="str">
        <f t="shared" si="185"/>
        <v>9791137602113</v>
      </c>
      <c r="AV827" t="str">
        <f t="shared" si="186"/>
        <v>판타지 웹소설 &gt; 현대 판타지</v>
      </c>
    </row>
    <row r="828" spans="1:48" x14ac:dyDescent="0.4">
      <c r="A828">
        <v>2313011955</v>
      </c>
      <c r="B828">
        <v>2313012059</v>
      </c>
      <c r="C828" t="str">
        <f>T("갓 오브 블랙필드 105화")</f>
        <v>갓 오브 블랙필드 105화</v>
      </c>
      <c r="D828" t="str">
        <f>T("105")</f>
        <v>105</v>
      </c>
      <c r="E828" t="str">
        <f t="shared" si="183"/>
        <v>무장</v>
      </c>
      <c r="H828" t="str">
        <f t="shared" si="176"/>
        <v>스토리위즈</v>
      </c>
      <c r="I828" t="str">
        <f t="shared" si="184"/>
        <v>갓 오브 블랙필드</v>
      </c>
      <c r="J828">
        <v>100</v>
      </c>
      <c r="K828">
        <v>1100</v>
      </c>
      <c r="L828">
        <v>11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1100</v>
      </c>
      <c r="AH828">
        <v>11</v>
      </c>
      <c r="AI828">
        <v>0</v>
      </c>
      <c r="AJ828">
        <v>0</v>
      </c>
      <c r="AK828">
        <v>1100</v>
      </c>
      <c r="AL828">
        <v>0</v>
      </c>
      <c r="AM828">
        <v>0</v>
      </c>
      <c r="AN828">
        <v>0</v>
      </c>
      <c r="AO828">
        <v>0</v>
      </c>
      <c r="AP828">
        <v>770</v>
      </c>
      <c r="AT828" t="str">
        <f t="shared" si="185"/>
        <v>9791137602113</v>
      </c>
      <c r="AV828" t="str">
        <f t="shared" si="186"/>
        <v>판타지 웹소설 &gt; 현대 판타지</v>
      </c>
    </row>
    <row r="829" spans="1:48" x14ac:dyDescent="0.4">
      <c r="A829">
        <v>2313011955</v>
      </c>
      <c r="B829">
        <v>2313012094</v>
      </c>
      <c r="C829" t="str">
        <f>T("갓 오브 블랙필드 140화")</f>
        <v>갓 오브 블랙필드 140화</v>
      </c>
      <c r="D829" t="str">
        <f>T("140")</f>
        <v>140</v>
      </c>
      <c r="E829" t="str">
        <f t="shared" si="183"/>
        <v>무장</v>
      </c>
      <c r="H829" t="str">
        <f t="shared" si="176"/>
        <v>스토리위즈</v>
      </c>
      <c r="I829" t="str">
        <f t="shared" si="184"/>
        <v>갓 오브 블랙필드</v>
      </c>
      <c r="J829">
        <v>100</v>
      </c>
      <c r="K829">
        <v>1100</v>
      </c>
      <c r="L829">
        <v>11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1100</v>
      </c>
      <c r="AH829">
        <v>11</v>
      </c>
      <c r="AI829">
        <v>0</v>
      </c>
      <c r="AJ829">
        <v>0</v>
      </c>
      <c r="AK829">
        <v>1100</v>
      </c>
      <c r="AL829">
        <v>0</v>
      </c>
      <c r="AM829">
        <v>0</v>
      </c>
      <c r="AN829">
        <v>0</v>
      </c>
      <c r="AO829">
        <v>0</v>
      </c>
      <c r="AP829">
        <v>770</v>
      </c>
      <c r="AT829" t="str">
        <f t="shared" si="185"/>
        <v>9791137602113</v>
      </c>
      <c r="AV829" t="str">
        <f t="shared" si="186"/>
        <v>판타지 웹소설 &gt; 현대 판타지</v>
      </c>
    </row>
    <row r="830" spans="1:48" x14ac:dyDescent="0.4">
      <c r="A830">
        <v>2313012849</v>
      </c>
      <c r="B830">
        <v>2313012939</v>
      </c>
      <c r="C830" t="str">
        <f>T("디버프 마스터 91화")</f>
        <v>디버프 마스터 91화</v>
      </c>
      <c r="D830" t="str">
        <f>T("91")</f>
        <v>91</v>
      </c>
      <c r="E830" t="str">
        <f>T("담화공")</f>
        <v>담화공</v>
      </c>
      <c r="H830" t="str">
        <f t="shared" si="176"/>
        <v>스토리위즈</v>
      </c>
      <c r="I830" t="str">
        <f>T("디버프 마스터")</f>
        <v>디버프 마스터</v>
      </c>
      <c r="J830">
        <v>100</v>
      </c>
      <c r="K830">
        <v>1100</v>
      </c>
      <c r="L830">
        <v>11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1100</v>
      </c>
      <c r="AH830">
        <v>11</v>
      </c>
      <c r="AI830">
        <v>0</v>
      </c>
      <c r="AJ830">
        <v>0</v>
      </c>
      <c r="AK830">
        <v>1000</v>
      </c>
      <c r="AL830">
        <v>0</v>
      </c>
      <c r="AM830">
        <v>119.05</v>
      </c>
      <c r="AN830">
        <v>-35.72</v>
      </c>
      <c r="AO830">
        <v>0</v>
      </c>
      <c r="AP830">
        <v>758.33</v>
      </c>
      <c r="AT830" t="str">
        <f>T("9791137602663")</f>
        <v>9791137602663</v>
      </c>
      <c r="AV830" t="str">
        <f>T("판타지 웹소설 &gt; 퓨전 판타지")</f>
        <v>판타지 웹소설 &gt; 퓨전 판타지</v>
      </c>
    </row>
    <row r="831" spans="1:48" x14ac:dyDescent="0.4">
      <c r="A831">
        <v>2313012849</v>
      </c>
      <c r="B831">
        <v>2313012942</v>
      </c>
      <c r="C831" t="str">
        <f>T("디버프 마스터 94화")</f>
        <v>디버프 마스터 94화</v>
      </c>
      <c r="D831" t="str">
        <f>T("94")</f>
        <v>94</v>
      </c>
      <c r="E831" t="str">
        <f>T("담화공")</f>
        <v>담화공</v>
      </c>
      <c r="H831" t="str">
        <f t="shared" si="176"/>
        <v>스토리위즈</v>
      </c>
      <c r="I831" t="str">
        <f>T("디버프 마스터")</f>
        <v>디버프 마스터</v>
      </c>
      <c r="J831">
        <v>100</v>
      </c>
      <c r="K831">
        <v>1100</v>
      </c>
      <c r="L831">
        <v>11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1100</v>
      </c>
      <c r="AH831">
        <v>11</v>
      </c>
      <c r="AI831">
        <v>0</v>
      </c>
      <c r="AJ831">
        <v>0</v>
      </c>
      <c r="AK831">
        <v>1000</v>
      </c>
      <c r="AL831">
        <v>0</v>
      </c>
      <c r="AM831">
        <v>119.05</v>
      </c>
      <c r="AN831">
        <v>-35.72</v>
      </c>
      <c r="AO831">
        <v>0</v>
      </c>
      <c r="AP831">
        <v>758.33</v>
      </c>
      <c r="AT831" t="str">
        <f>T("9791137602663")</f>
        <v>9791137602663</v>
      </c>
      <c r="AV831" t="str">
        <f>T("판타지 웹소설 &gt; 퓨전 판타지")</f>
        <v>판타지 웹소설 &gt; 퓨전 판타지</v>
      </c>
    </row>
    <row r="832" spans="1:48" x14ac:dyDescent="0.4">
      <c r="A832">
        <v>2313012849</v>
      </c>
      <c r="B832">
        <v>2313012943</v>
      </c>
      <c r="C832" t="str">
        <f>T("디버프 마스터 95화")</f>
        <v>디버프 마스터 95화</v>
      </c>
      <c r="D832" t="str">
        <f>T("95")</f>
        <v>95</v>
      </c>
      <c r="E832" t="str">
        <f>T("담화공")</f>
        <v>담화공</v>
      </c>
      <c r="H832" t="str">
        <f t="shared" si="176"/>
        <v>스토리위즈</v>
      </c>
      <c r="I832" t="str">
        <f>T("디버프 마스터")</f>
        <v>디버프 마스터</v>
      </c>
      <c r="J832">
        <v>100</v>
      </c>
      <c r="K832">
        <v>1100</v>
      </c>
      <c r="L832">
        <v>11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1100</v>
      </c>
      <c r="AH832">
        <v>11</v>
      </c>
      <c r="AI832">
        <v>0</v>
      </c>
      <c r="AJ832">
        <v>0</v>
      </c>
      <c r="AK832">
        <v>1000</v>
      </c>
      <c r="AL832">
        <v>0</v>
      </c>
      <c r="AM832">
        <v>119.05</v>
      </c>
      <c r="AN832">
        <v>-35.72</v>
      </c>
      <c r="AO832">
        <v>0</v>
      </c>
      <c r="AP832">
        <v>758.33</v>
      </c>
      <c r="AT832" t="str">
        <f>T("9791137602663")</f>
        <v>9791137602663</v>
      </c>
      <c r="AV832" t="str">
        <f>T("판타지 웹소설 &gt; 퓨전 판타지")</f>
        <v>판타지 웹소설 &gt; 퓨전 판타지</v>
      </c>
    </row>
    <row r="833" spans="1:49" x14ac:dyDescent="0.4">
      <c r="A833">
        <v>2313012849</v>
      </c>
      <c r="B833">
        <v>2313012944</v>
      </c>
      <c r="C833" t="str">
        <f>T("디버프 마스터 96화")</f>
        <v>디버프 마스터 96화</v>
      </c>
      <c r="D833" t="str">
        <f>T("96")</f>
        <v>96</v>
      </c>
      <c r="E833" t="str">
        <f>T("담화공")</f>
        <v>담화공</v>
      </c>
      <c r="H833" t="str">
        <f t="shared" si="176"/>
        <v>스토리위즈</v>
      </c>
      <c r="I833" t="str">
        <f>T("디버프 마스터")</f>
        <v>디버프 마스터</v>
      </c>
      <c r="J833">
        <v>100</v>
      </c>
      <c r="K833">
        <v>1100</v>
      </c>
      <c r="L833">
        <v>11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1100</v>
      </c>
      <c r="AH833">
        <v>11</v>
      </c>
      <c r="AI833">
        <v>0</v>
      </c>
      <c r="AJ833">
        <v>0</v>
      </c>
      <c r="AK833">
        <v>1000</v>
      </c>
      <c r="AL833">
        <v>0</v>
      </c>
      <c r="AM833">
        <v>119.05</v>
      </c>
      <c r="AN833">
        <v>-35.72</v>
      </c>
      <c r="AO833">
        <v>0</v>
      </c>
      <c r="AP833">
        <v>758.33</v>
      </c>
      <c r="AT833" t="str">
        <f>T("9791137602663")</f>
        <v>9791137602663</v>
      </c>
      <c r="AV833" t="str">
        <f>T("판타지 웹소설 &gt; 퓨전 판타지")</f>
        <v>판타지 웹소설 &gt; 퓨전 판타지</v>
      </c>
    </row>
    <row r="834" spans="1:49" x14ac:dyDescent="0.4">
      <c r="A834">
        <v>2313012849</v>
      </c>
      <c r="B834">
        <v>2313012946</v>
      </c>
      <c r="C834" t="str">
        <f>T("디버프 마스터 98화")</f>
        <v>디버프 마스터 98화</v>
      </c>
      <c r="D834" t="str">
        <f>T("98")</f>
        <v>98</v>
      </c>
      <c r="E834" t="str">
        <f>T("담화공")</f>
        <v>담화공</v>
      </c>
      <c r="H834" t="str">
        <f t="shared" si="176"/>
        <v>스토리위즈</v>
      </c>
      <c r="I834" t="str">
        <f>T("디버프 마스터")</f>
        <v>디버프 마스터</v>
      </c>
      <c r="J834">
        <v>100</v>
      </c>
      <c r="K834">
        <v>1100</v>
      </c>
      <c r="L834">
        <v>11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1100</v>
      </c>
      <c r="AH834">
        <v>11</v>
      </c>
      <c r="AI834">
        <v>0</v>
      </c>
      <c r="AJ834">
        <v>0</v>
      </c>
      <c r="AK834">
        <v>1000</v>
      </c>
      <c r="AL834">
        <v>0</v>
      </c>
      <c r="AM834">
        <v>119.05</v>
      </c>
      <c r="AN834">
        <v>-35.72</v>
      </c>
      <c r="AO834">
        <v>0</v>
      </c>
      <c r="AP834">
        <v>758.33</v>
      </c>
      <c r="AT834" t="str">
        <f>T("9791137602663")</f>
        <v>9791137602663</v>
      </c>
      <c r="AV834" t="str">
        <f>T("판타지 웹소설 &gt; 퓨전 판타지")</f>
        <v>판타지 웹소설 &gt; 퓨전 판타지</v>
      </c>
    </row>
    <row r="835" spans="1:49" x14ac:dyDescent="0.4">
      <c r="A835">
        <v>2313016865</v>
      </c>
      <c r="B835">
        <v>2313016863</v>
      </c>
      <c r="C835" t="str">
        <f>T("[e북]나쁜 이혼 (외전증보판) (외전)")</f>
        <v>[e북]나쁜 이혼 (외전증보판) (외전)</v>
      </c>
      <c r="D835" t="str">
        <f>T("3")</f>
        <v>3</v>
      </c>
      <c r="E835" t="str">
        <f>T("진숙")</f>
        <v>진숙</v>
      </c>
      <c r="H835" t="str">
        <f>T("도서출판 태랑")</f>
        <v>도서출판 태랑</v>
      </c>
      <c r="I835" t="str">
        <f>T("[e북]나쁜 이혼 (외전증보판)")</f>
        <v>[e북]나쁜 이혼 (외전증보판)</v>
      </c>
      <c r="J835">
        <v>1100</v>
      </c>
      <c r="K835">
        <v>1100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1100</v>
      </c>
      <c r="AH835">
        <v>1</v>
      </c>
      <c r="AI835">
        <v>0</v>
      </c>
      <c r="AJ835">
        <v>0</v>
      </c>
      <c r="AK835">
        <v>1100</v>
      </c>
      <c r="AL835">
        <v>0</v>
      </c>
      <c r="AM835">
        <v>0</v>
      </c>
      <c r="AN835">
        <v>0</v>
      </c>
      <c r="AO835">
        <v>0</v>
      </c>
      <c r="AP835">
        <v>770</v>
      </c>
      <c r="AT835" t="str">
        <f>T("9791164374380")</f>
        <v>9791164374380</v>
      </c>
      <c r="AV835" t="str">
        <f>T("로맨스 e북 &gt; 현대물")</f>
        <v>로맨스 e북 &gt; 현대물</v>
      </c>
      <c r="AW835" t="str">
        <f>T("로맨스 e북 &gt; 19+")</f>
        <v>로맨스 e북 &gt; 19+</v>
      </c>
    </row>
    <row r="836" spans="1:49" x14ac:dyDescent="0.4">
      <c r="A836">
        <v>2313017657</v>
      </c>
      <c r="B836">
        <v>2313017784</v>
      </c>
      <c r="C836" t="str">
        <f>T("회귀자의 슬기로운 복수생활 128화")</f>
        <v>회귀자의 슬기로운 복수생활 128화</v>
      </c>
      <c r="D836" t="str">
        <f>T("128")</f>
        <v>128</v>
      </c>
      <c r="E836" t="str">
        <f t="shared" ref="E836:E876" si="187">T("구공")</f>
        <v>구공</v>
      </c>
      <c r="H836" t="str">
        <f t="shared" ref="H836:H899" si="188">T("스토리위즈")</f>
        <v>스토리위즈</v>
      </c>
      <c r="I836" t="str">
        <f t="shared" ref="I836:I876" si="189">T("회귀자의 슬기로운 복수생활")</f>
        <v>회귀자의 슬기로운 복수생활</v>
      </c>
      <c r="J836">
        <v>100</v>
      </c>
      <c r="K836">
        <v>1100</v>
      </c>
      <c r="L836">
        <v>11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1100</v>
      </c>
      <c r="AH836">
        <v>11</v>
      </c>
      <c r="AI836">
        <v>0</v>
      </c>
      <c r="AJ836">
        <v>0</v>
      </c>
      <c r="AK836">
        <v>1100</v>
      </c>
      <c r="AL836">
        <v>0</v>
      </c>
      <c r="AM836">
        <v>0</v>
      </c>
      <c r="AN836">
        <v>0</v>
      </c>
      <c r="AO836">
        <v>0</v>
      </c>
      <c r="AP836">
        <v>770</v>
      </c>
      <c r="AT836" t="str">
        <f t="shared" ref="AT836:AT876" si="190">T("9791137601710")</f>
        <v>9791137601710</v>
      </c>
      <c r="AV836" t="str">
        <f t="shared" ref="AV836:AV897" si="191">T("판타지 웹소설 &gt; 퓨전 판타지")</f>
        <v>판타지 웹소설 &gt; 퓨전 판타지</v>
      </c>
    </row>
    <row r="837" spans="1:49" x14ac:dyDescent="0.4">
      <c r="A837">
        <v>2313017657</v>
      </c>
      <c r="B837">
        <v>2313017785</v>
      </c>
      <c r="C837" t="str">
        <f>T("회귀자의 슬기로운 복수생활 129화")</f>
        <v>회귀자의 슬기로운 복수생활 129화</v>
      </c>
      <c r="D837" t="str">
        <f>T("129")</f>
        <v>129</v>
      </c>
      <c r="E837" t="str">
        <f t="shared" si="187"/>
        <v>구공</v>
      </c>
      <c r="H837" t="str">
        <f t="shared" si="188"/>
        <v>스토리위즈</v>
      </c>
      <c r="I837" t="str">
        <f t="shared" si="189"/>
        <v>회귀자의 슬기로운 복수생활</v>
      </c>
      <c r="J837">
        <v>100</v>
      </c>
      <c r="K837">
        <v>1100</v>
      </c>
      <c r="L837">
        <v>11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1100</v>
      </c>
      <c r="AH837">
        <v>11</v>
      </c>
      <c r="AI837">
        <v>0</v>
      </c>
      <c r="AJ837">
        <v>0</v>
      </c>
      <c r="AK837">
        <v>1100</v>
      </c>
      <c r="AL837">
        <v>0</v>
      </c>
      <c r="AM837">
        <v>0</v>
      </c>
      <c r="AN837">
        <v>0</v>
      </c>
      <c r="AO837">
        <v>0</v>
      </c>
      <c r="AP837">
        <v>770</v>
      </c>
      <c r="AT837" t="str">
        <f t="shared" si="190"/>
        <v>9791137601710</v>
      </c>
      <c r="AV837" t="str">
        <f t="shared" si="191"/>
        <v>판타지 웹소설 &gt; 퓨전 판타지</v>
      </c>
    </row>
    <row r="838" spans="1:49" x14ac:dyDescent="0.4">
      <c r="A838">
        <v>2313017657</v>
      </c>
      <c r="B838">
        <v>2313017786</v>
      </c>
      <c r="C838" t="str">
        <f>T("회귀자의 슬기로운 복수생활 130화")</f>
        <v>회귀자의 슬기로운 복수생활 130화</v>
      </c>
      <c r="D838" t="str">
        <f>T("130")</f>
        <v>130</v>
      </c>
      <c r="E838" t="str">
        <f t="shared" si="187"/>
        <v>구공</v>
      </c>
      <c r="H838" t="str">
        <f t="shared" si="188"/>
        <v>스토리위즈</v>
      </c>
      <c r="I838" t="str">
        <f t="shared" si="189"/>
        <v>회귀자의 슬기로운 복수생활</v>
      </c>
      <c r="J838">
        <v>100</v>
      </c>
      <c r="K838">
        <v>1100</v>
      </c>
      <c r="L838">
        <v>11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1100</v>
      </c>
      <c r="AH838">
        <v>11</v>
      </c>
      <c r="AI838">
        <v>0</v>
      </c>
      <c r="AJ838">
        <v>0</v>
      </c>
      <c r="AK838">
        <v>1100</v>
      </c>
      <c r="AL838">
        <v>0</v>
      </c>
      <c r="AM838">
        <v>0</v>
      </c>
      <c r="AN838">
        <v>0</v>
      </c>
      <c r="AO838">
        <v>0</v>
      </c>
      <c r="AP838">
        <v>770</v>
      </c>
      <c r="AT838" t="str">
        <f t="shared" si="190"/>
        <v>9791137601710</v>
      </c>
      <c r="AV838" t="str">
        <f t="shared" si="191"/>
        <v>판타지 웹소설 &gt; 퓨전 판타지</v>
      </c>
    </row>
    <row r="839" spans="1:49" x14ac:dyDescent="0.4">
      <c r="A839">
        <v>2313017657</v>
      </c>
      <c r="B839">
        <v>2313017787</v>
      </c>
      <c r="C839" t="str">
        <f>T("회귀자의 슬기로운 복수생활 131화")</f>
        <v>회귀자의 슬기로운 복수생활 131화</v>
      </c>
      <c r="D839" t="str">
        <f>T("131")</f>
        <v>131</v>
      </c>
      <c r="E839" t="str">
        <f t="shared" si="187"/>
        <v>구공</v>
      </c>
      <c r="H839" t="str">
        <f t="shared" si="188"/>
        <v>스토리위즈</v>
      </c>
      <c r="I839" t="str">
        <f t="shared" si="189"/>
        <v>회귀자의 슬기로운 복수생활</v>
      </c>
      <c r="J839">
        <v>100</v>
      </c>
      <c r="K839">
        <v>1100</v>
      </c>
      <c r="L839">
        <v>11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1100</v>
      </c>
      <c r="AH839">
        <v>11</v>
      </c>
      <c r="AI839">
        <v>0</v>
      </c>
      <c r="AJ839">
        <v>0</v>
      </c>
      <c r="AK839">
        <v>1100</v>
      </c>
      <c r="AL839">
        <v>0</v>
      </c>
      <c r="AM839">
        <v>0</v>
      </c>
      <c r="AN839">
        <v>0</v>
      </c>
      <c r="AO839">
        <v>0</v>
      </c>
      <c r="AP839">
        <v>770</v>
      </c>
      <c r="AT839" t="str">
        <f t="shared" si="190"/>
        <v>9791137601710</v>
      </c>
      <c r="AV839" t="str">
        <f t="shared" si="191"/>
        <v>판타지 웹소설 &gt; 퓨전 판타지</v>
      </c>
    </row>
    <row r="840" spans="1:49" x14ac:dyDescent="0.4">
      <c r="A840">
        <v>2313017657</v>
      </c>
      <c r="B840">
        <v>2313017788</v>
      </c>
      <c r="C840" t="str">
        <f>T("회귀자의 슬기로운 복수생활 132화")</f>
        <v>회귀자의 슬기로운 복수생활 132화</v>
      </c>
      <c r="D840" t="str">
        <f>T("132")</f>
        <v>132</v>
      </c>
      <c r="E840" t="str">
        <f t="shared" si="187"/>
        <v>구공</v>
      </c>
      <c r="H840" t="str">
        <f t="shared" si="188"/>
        <v>스토리위즈</v>
      </c>
      <c r="I840" t="str">
        <f t="shared" si="189"/>
        <v>회귀자의 슬기로운 복수생활</v>
      </c>
      <c r="J840">
        <v>100</v>
      </c>
      <c r="K840">
        <v>1100</v>
      </c>
      <c r="L840">
        <v>11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1100</v>
      </c>
      <c r="AH840">
        <v>11</v>
      </c>
      <c r="AI840">
        <v>0</v>
      </c>
      <c r="AJ840">
        <v>0</v>
      </c>
      <c r="AK840">
        <v>1100</v>
      </c>
      <c r="AL840">
        <v>0</v>
      </c>
      <c r="AM840">
        <v>0</v>
      </c>
      <c r="AN840">
        <v>0</v>
      </c>
      <c r="AO840">
        <v>0</v>
      </c>
      <c r="AP840">
        <v>770</v>
      </c>
      <c r="AT840" t="str">
        <f t="shared" si="190"/>
        <v>9791137601710</v>
      </c>
      <c r="AV840" t="str">
        <f t="shared" si="191"/>
        <v>판타지 웹소설 &gt; 퓨전 판타지</v>
      </c>
    </row>
    <row r="841" spans="1:49" x14ac:dyDescent="0.4">
      <c r="A841">
        <v>2313017657</v>
      </c>
      <c r="B841">
        <v>2313017789</v>
      </c>
      <c r="C841" t="str">
        <f>T("회귀자의 슬기로운 복수생활 133화")</f>
        <v>회귀자의 슬기로운 복수생활 133화</v>
      </c>
      <c r="D841" t="str">
        <f>T("133")</f>
        <v>133</v>
      </c>
      <c r="E841" t="str">
        <f t="shared" si="187"/>
        <v>구공</v>
      </c>
      <c r="H841" t="str">
        <f t="shared" si="188"/>
        <v>스토리위즈</v>
      </c>
      <c r="I841" t="str">
        <f t="shared" si="189"/>
        <v>회귀자의 슬기로운 복수생활</v>
      </c>
      <c r="J841">
        <v>100</v>
      </c>
      <c r="K841">
        <v>1100</v>
      </c>
      <c r="L841">
        <v>11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1100</v>
      </c>
      <c r="AH841">
        <v>11</v>
      </c>
      <c r="AI841">
        <v>0</v>
      </c>
      <c r="AJ841">
        <v>0</v>
      </c>
      <c r="AK841">
        <v>1100</v>
      </c>
      <c r="AL841">
        <v>0</v>
      </c>
      <c r="AM841">
        <v>0</v>
      </c>
      <c r="AN841">
        <v>0</v>
      </c>
      <c r="AO841">
        <v>0</v>
      </c>
      <c r="AP841">
        <v>770</v>
      </c>
      <c r="AT841" t="str">
        <f t="shared" si="190"/>
        <v>9791137601710</v>
      </c>
      <c r="AV841" t="str">
        <f t="shared" si="191"/>
        <v>판타지 웹소설 &gt; 퓨전 판타지</v>
      </c>
    </row>
    <row r="842" spans="1:49" x14ac:dyDescent="0.4">
      <c r="A842">
        <v>2313017657</v>
      </c>
      <c r="B842">
        <v>2313017790</v>
      </c>
      <c r="C842" t="str">
        <f>T("회귀자의 슬기로운 복수생활 134화")</f>
        <v>회귀자의 슬기로운 복수생활 134화</v>
      </c>
      <c r="D842" t="str">
        <f>T("134")</f>
        <v>134</v>
      </c>
      <c r="E842" t="str">
        <f t="shared" si="187"/>
        <v>구공</v>
      </c>
      <c r="H842" t="str">
        <f t="shared" si="188"/>
        <v>스토리위즈</v>
      </c>
      <c r="I842" t="str">
        <f t="shared" si="189"/>
        <v>회귀자의 슬기로운 복수생활</v>
      </c>
      <c r="J842">
        <v>100</v>
      </c>
      <c r="K842">
        <v>1100</v>
      </c>
      <c r="L842">
        <v>11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1100</v>
      </c>
      <c r="AH842">
        <v>11</v>
      </c>
      <c r="AI842">
        <v>0</v>
      </c>
      <c r="AJ842">
        <v>0</v>
      </c>
      <c r="AK842">
        <v>1100</v>
      </c>
      <c r="AL842">
        <v>0</v>
      </c>
      <c r="AM842">
        <v>0</v>
      </c>
      <c r="AN842">
        <v>0</v>
      </c>
      <c r="AO842">
        <v>0</v>
      </c>
      <c r="AP842">
        <v>770</v>
      </c>
      <c r="AT842" t="str">
        <f t="shared" si="190"/>
        <v>9791137601710</v>
      </c>
      <c r="AV842" t="str">
        <f t="shared" si="191"/>
        <v>판타지 웹소설 &gt; 퓨전 판타지</v>
      </c>
    </row>
    <row r="843" spans="1:49" x14ac:dyDescent="0.4">
      <c r="A843">
        <v>2313017657</v>
      </c>
      <c r="B843">
        <v>2313017791</v>
      </c>
      <c r="C843" t="str">
        <f>T("회귀자의 슬기로운 복수생활 135화")</f>
        <v>회귀자의 슬기로운 복수생활 135화</v>
      </c>
      <c r="D843" t="str">
        <f>T("135")</f>
        <v>135</v>
      </c>
      <c r="E843" t="str">
        <f t="shared" si="187"/>
        <v>구공</v>
      </c>
      <c r="H843" t="str">
        <f t="shared" si="188"/>
        <v>스토리위즈</v>
      </c>
      <c r="I843" t="str">
        <f t="shared" si="189"/>
        <v>회귀자의 슬기로운 복수생활</v>
      </c>
      <c r="J843">
        <v>100</v>
      </c>
      <c r="K843">
        <v>1100</v>
      </c>
      <c r="L843">
        <v>11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1100</v>
      </c>
      <c r="AH843">
        <v>11</v>
      </c>
      <c r="AI843">
        <v>0</v>
      </c>
      <c r="AJ843">
        <v>0</v>
      </c>
      <c r="AK843">
        <v>1100</v>
      </c>
      <c r="AL843">
        <v>0</v>
      </c>
      <c r="AM843">
        <v>0</v>
      </c>
      <c r="AN843">
        <v>0</v>
      </c>
      <c r="AO843">
        <v>0</v>
      </c>
      <c r="AP843">
        <v>770</v>
      </c>
      <c r="AT843" t="str">
        <f t="shared" si="190"/>
        <v>9791137601710</v>
      </c>
      <c r="AV843" t="str">
        <f t="shared" si="191"/>
        <v>판타지 웹소설 &gt; 퓨전 판타지</v>
      </c>
    </row>
    <row r="844" spans="1:49" x14ac:dyDescent="0.4">
      <c r="A844">
        <v>2313017657</v>
      </c>
      <c r="B844">
        <v>2313017801</v>
      </c>
      <c r="C844" t="str">
        <f>T("회귀자의 슬기로운 복수생활 145화")</f>
        <v>회귀자의 슬기로운 복수생활 145화</v>
      </c>
      <c r="D844" t="str">
        <f>T("145")</f>
        <v>145</v>
      </c>
      <c r="E844" t="str">
        <f t="shared" si="187"/>
        <v>구공</v>
      </c>
      <c r="H844" t="str">
        <f t="shared" si="188"/>
        <v>스토리위즈</v>
      </c>
      <c r="I844" t="str">
        <f t="shared" si="189"/>
        <v>회귀자의 슬기로운 복수생활</v>
      </c>
      <c r="J844">
        <v>100</v>
      </c>
      <c r="K844">
        <v>1100</v>
      </c>
      <c r="L844">
        <v>11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1100</v>
      </c>
      <c r="AH844">
        <v>11</v>
      </c>
      <c r="AI844">
        <v>0</v>
      </c>
      <c r="AJ844">
        <v>0</v>
      </c>
      <c r="AK844">
        <v>1100</v>
      </c>
      <c r="AL844">
        <v>0</v>
      </c>
      <c r="AM844">
        <v>0</v>
      </c>
      <c r="AN844">
        <v>0</v>
      </c>
      <c r="AO844">
        <v>0</v>
      </c>
      <c r="AP844">
        <v>770</v>
      </c>
      <c r="AT844" t="str">
        <f t="shared" si="190"/>
        <v>9791137601710</v>
      </c>
      <c r="AV844" t="str">
        <f t="shared" si="191"/>
        <v>판타지 웹소설 &gt; 퓨전 판타지</v>
      </c>
    </row>
    <row r="845" spans="1:49" x14ac:dyDescent="0.4">
      <c r="A845">
        <v>2313017657</v>
      </c>
      <c r="B845">
        <v>2313017805</v>
      </c>
      <c r="C845" t="str">
        <f>T("회귀자의 슬기로운 복수생활 149화")</f>
        <v>회귀자의 슬기로운 복수생활 149화</v>
      </c>
      <c r="D845" t="str">
        <f>T("149")</f>
        <v>149</v>
      </c>
      <c r="E845" t="str">
        <f t="shared" si="187"/>
        <v>구공</v>
      </c>
      <c r="H845" t="str">
        <f t="shared" si="188"/>
        <v>스토리위즈</v>
      </c>
      <c r="I845" t="str">
        <f t="shared" si="189"/>
        <v>회귀자의 슬기로운 복수생활</v>
      </c>
      <c r="J845">
        <v>100</v>
      </c>
      <c r="K845">
        <v>1100</v>
      </c>
      <c r="L845">
        <v>11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1100</v>
      </c>
      <c r="AH845">
        <v>11</v>
      </c>
      <c r="AI845">
        <v>0</v>
      </c>
      <c r="AJ845">
        <v>0</v>
      </c>
      <c r="AK845">
        <v>1100</v>
      </c>
      <c r="AL845">
        <v>0</v>
      </c>
      <c r="AM845">
        <v>0</v>
      </c>
      <c r="AN845">
        <v>0</v>
      </c>
      <c r="AO845">
        <v>0</v>
      </c>
      <c r="AP845">
        <v>770</v>
      </c>
      <c r="AT845" t="str">
        <f t="shared" si="190"/>
        <v>9791137601710</v>
      </c>
      <c r="AV845" t="str">
        <f t="shared" si="191"/>
        <v>판타지 웹소설 &gt; 퓨전 판타지</v>
      </c>
    </row>
    <row r="846" spans="1:49" x14ac:dyDescent="0.4">
      <c r="A846">
        <v>2313017657</v>
      </c>
      <c r="B846">
        <v>2313017806</v>
      </c>
      <c r="C846" t="str">
        <f>T("회귀자의 슬기로운 복수생활 150화")</f>
        <v>회귀자의 슬기로운 복수생활 150화</v>
      </c>
      <c r="D846" t="str">
        <f>T("150")</f>
        <v>150</v>
      </c>
      <c r="E846" t="str">
        <f t="shared" si="187"/>
        <v>구공</v>
      </c>
      <c r="H846" t="str">
        <f t="shared" si="188"/>
        <v>스토리위즈</v>
      </c>
      <c r="I846" t="str">
        <f t="shared" si="189"/>
        <v>회귀자의 슬기로운 복수생활</v>
      </c>
      <c r="J846">
        <v>100</v>
      </c>
      <c r="K846">
        <v>1100</v>
      </c>
      <c r="L846">
        <v>11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1100</v>
      </c>
      <c r="AH846">
        <v>11</v>
      </c>
      <c r="AI846">
        <v>0</v>
      </c>
      <c r="AJ846">
        <v>0</v>
      </c>
      <c r="AK846">
        <v>1100</v>
      </c>
      <c r="AL846">
        <v>0</v>
      </c>
      <c r="AM846">
        <v>0</v>
      </c>
      <c r="AN846">
        <v>0</v>
      </c>
      <c r="AO846">
        <v>0</v>
      </c>
      <c r="AP846">
        <v>770</v>
      </c>
      <c r="AT846" t="str">
        <f t="shared" si="190"/>
        <v>9791137601710</v>
      </c>
      <c r="AV846" t="str">
        <f t="shared" si="191"/>
        <v>판타지 웹소설 &gt; 퓨전 판타지</v>
      </c>
    </row>
    <row r="847" spans="1:49" x14ac:dyDescent="0.4">
      <c r="A847">
        <v>2313017657</v>
      </c>
      <c r="B847">
        <v>2313017807</v>
      </c>
      <c r="C847" t="str">
        <f>T("회귀자의 슬기로운 복수생활 151화")</f>
        <v>회귀자의 슬기로운 복수생활 151화</v>
      </c>
      <c r="D847" t="str">
        <f>T("151")</f>
        <v>151</v>
      </c>
      <c r="E847" t="str">
        <f t="shared" si="187"/>
        <v>구공</v>
      </c>
      <c r="H847" t="str">
        <f t="shared" si="188"/>
        <v>스토리위즈</v>
      </c>
      <c r="I847" t="str">
        <f t="shared" si="189"/>
        <v>회귀자의 슬기로운 복수생활</v>
      </c>
      <c r="J847">
        <v>100</v>
      </c>
      <c r="K847">
        <v>1100</v>
      </c>
      <c r="L847">
        <v>11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1100</v>
      </c>
      <c r="AH847">
        <v>11</v>
      </c>
      <c r="AI847">
        <v>0</v>
      </c>
      <c r="AJ847">
        <v>0</v>
      </c>
      <c r="AK847">
        <v>1100</v>
      </c>
      <c r="AL847">
        <v>0</v>
      </c>
      <c r="AM847">
        <v>0</v>
      </c>
      <c r="AN847">
        <v>0</v>
      </c>
      <c r="AO847">
        <v>0</v>
      </c>
      <c r="AP847">
        <v>770</v>
      </c>
      <c r="AT847" t="str">
        <f t="shared" si="190"/>
        <v>9791137601710</v>
      </c>
      <c r="AV847" t="str">
        <f t="shared" si="191"/>
        <v>판타지 웹소설 &gt; 퓨전 판타지</v>
      </c>
    </row>
    <row r="848" spans="1:49" x14ac:dyDescent="0.4">
      <c r="A848">
        <v>2313017657</v>
      </c>
      <c r="B848">
        <v>2313017808</v>
      </c>
      <c r="C848" t="str">
        <f>T("회귀자의 슬기로운 복수생활 152화")</f>
        <v>회귀자의 슬기로운 복수생활 152화</v>
      </c>
      <c r="D848" t="str">
        <f>T("152")</f>
        <v>152</v>
      </c>
      <c r="E848" t="str">
        <f t="shared" si="187"/>
        <v>구공</v>
      </c>
      <c r="H848" t="str">
        <f t="shared" si="188"/>
        <v>스토리위즈</v>
      </c>
      <c r="I848" t="str">
        <f t="shared" si="189"/>
        <v>회귀자의 슬기로운 복수생활</v>
      </c>
      <c r="J848">
        <v>100</v>
      </c>
      <c r="K848">
        <v>1100</v>
      </c>
      <c r="L848">
        <v>11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1100</v>
      </c>
      <c r="AH848">
        <v>11</v>
      </c>
      <c r="AI848">
        <v>0</v>
      </c>
      <c r="AJ848">
        <v>0</v>
      </c>
      <c r="AK848">
        <v>1100</v>
      </c>
      <c r="AL848">
        <v>0</v>
      </c>
      <c r="AM848">
        <v>0</v>
      </c>
      <c r="AN848">
        <v>0</v>
      </c>
      <c r="AO848">
        <v>0</v>
      </c>
      <c r="AP848">
        <v>770</v>
      </c>
      <c r="AT848" t="str">
        <f t="shared" si="190"/>
        <v>9791137601710</v>
      </c>
      <c r="AV848" t="str">
        <f t="shared" si="191"/>
        <v>판타지 웹소설 &gt; 퓨전 판타지</v>
      </c>
    </row>
    <row r="849" spans="1:48" x14ac:dyDescent="0.4">
      <c r="A849">
        <v>2313017657</v>
      </c>
      <c r="B849">
        <v>2313017809</v>
      </c>
      <c r="C849" t="str">
        <f>T("회귀자의 슬기로운 복수생활 153화")</f>
        <v>회귀자의 슬기로운 복수생활 153화</v>
      </c>
      <c r="D849" t="str">
        <f>T("153")</f>
        <v>153</v>
      </c>
      <c r="E849" t="str">
        <f t="shared" si="187"/>
        <v>구공</v>
      </c>
      <c r="H849" t="str">
        <f t="shared" si="188"/>
        <v>스토리위즈</v>
      </c>
      <c r="I849" t="str">
        <f t="shared" si="189"/>
        <v>회귀자의 슬기로운 복수생활</v>
      </c>
      <c r="J849">
        <v>100</v>
      </c>
      <c r="K849">
        <v>1100</v>
      </c>
      <c r="L849">
        <v>11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1100</v>
      </c>
      <c r="AH849">
        <v>11</v>
      </c>
      <c r="AI849">
        <v>0</v>
      </c>
      <c r="AJ849">
        <v>0</v>
      </c>
      <c r="AK849">
        <v>1100</v>
      </c>
      <c r="AL849">
        <v>0</v>
      </c>
      <c r="AM849">
        <v>0</v>
      </c>
      <c r="AN849">
        <v>0</v>
      </c>
      <c r="AO849">
        <v>0</v>
      </c>
      <c r="AP849">
        <v>770</v>
      </c>
      <c r="AT849" t="str">
        <f t="shared" si="190"/>
        <v>9791137601710</v>
      </c>
      <c r="AV849" t="str">
        <f t="shared" si="191"/>
        <v>판타지 웹소설 &gt; 퓨전 판타지</v>
      </c>
    </row>
    <row r="850" spans="1:48" x14ac:dyDescent="0.4">
      <c r="A850">
        <v>2313017657</v>
      </c>
      <c r="B850">
        <v>2313017810</v>
      </c>
      <c r="C850" t="str">
        <f>T("회귀자의 슬기로운 복수생활 154화")</f>
        <v>회귀자의 슬기로운 복수생활 154화</v>
      </c>
      <c r="D850" t="str">
        <f>T("154")</f>
        <v>154</v>
      </c>
      <c r="E850" t="str">
        <f t="shared" si="187"/>
        <v>구공</v>
      </c>
      <c r="H850" t="str">
        <f t="shared" si="188"/>
        <v>스토리위즈</v>
      </c>
      <c r="I850" t="str">
        <f t="shared" si="189"/>
        <v>회귀자의 슬기로운 복수생활</v>
      </c>
      <c r="J850">
        <v>100</v>
      </c>
      <c r="K850">
        <v>1100</v>
      </c>
      <c r="L850">
        <v>11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1100</v>
      </c>
      <c r="AH850">
        <v>11</v>
      </c>
      <c r="AI850">
        <v>0</v>
      </c>
      <c r="AJ850">
        <v>0</v>
      </c>
      <c r="AK850">
        <v>1100</v>
      </c>
      <c r="AL850">
        <v>0</v>
      </c>
      <c r="AM850">
        <v>0</v>
      </c>
      <c r="AN850">
        <v>0</v>
      </c>
      <c r="AO850">
        <v>0</v>
      </c>
      <c r="AP850">
        <v>770</v>
      </c>
      <c r="AT850" t="str">
        <f t="shared" si="190"/>
        <v>9791137601710</v>
      </c>
      <c r="AV850" t="str">
        <f t="shared" si="191"/>
        <v>판타지 웹소설 &gt; 퓨전 판타지</v>
      </c>
    </row>
    <row r="851" spans="1:48" x14ac:dyDescent="0.4">
      <c r="A851">
        <v>2313017657</v>
      </c>
      <c r="B851">
        <v>2313017811</v>
      </c>
      <c r="C851" t="str">
        <f>T("회귀자의 슬기로운 복수생활 155화")</f>
        <v>회귀자의 슬기로운 복수생활 155화</v>
      </c>
      <c r="D851" t="str">
        <f>T("155")</f>
        <v>155</v>
      </c>
      <c r="E851" t="str">
        <f t="shared" si="187"/>
        <v>구공</v>
      </c>
      <c r="H851" t="str">
        <f t="shared" si="188"/>
        <v>스토리위즈</v>
      </c>
      <c r="I851" t="str">
        <f t="shared" si="189"/>
        <v>회귀자의 슬기로운 복수생활</v>
      </c>
      <c r="J851">
        <v>100</v>
      </c>
      <c r="K851">
        <v>1100</v>
      </c>
      <c r="L851">
        <v>11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1100</v>
      </c>
      <c r="AH851">
        <v>11</v>
      </c>
      <c r="AI851">
        <v>0</v>
      </c>
      <c r="AJ851">
        <v>0</v>
      </c>
      <c r="AK851">
        <v>1100</v>
      </c>
      <c r="AL851">
        <v>0</v>
      </c>
      <c r="AM851">
        <v>0</v>
      </c>
      <c r="AN851">
        <v>0</v>
      </c>
      <c r="AO851">
        <v>0</v>
      </c>
      <c r="AP851">
        <v>770</v>
      </c>
      <c r="AT851" t="str">
        <f t="shared" si="190"/>
        <v>9791137601710</v>
      </c>
      <c r="AV851" t="str">
        <f t="shared" si="191"/>
        <v>판타지 웹소설 &gt; 퓨전 판타지</v>
      </c>
    </row>
    <row r="852" spans="1:48" x14ac:dyDescent="0.4">
      <c r="A852">
        <v>2313017657</v>
      </c>
      <c r="B852">
        <v>2313017812</v>
      </c>
      <c r="C852" t="str">
        <f>T("회귀자의 슬기로운 복수생활 156화")</f>
        <v>회귀자의 슬기로운 복수생활 156화</v>
      </c>
      <c r="D852" t="str">
        <f>T("156")</f>
        <v>156</v>
      </c>
      <c r="E852" t="str">
        <f t="shared" si="187"/>
        <v>구공</v>
      </c>
      <c r="H852" t="str">
        <f t="shared" si="188"/>
        <v>스토리위즈</v>
      </c>
      <c r="I852" t="str">
        <f t="shared" si="189"/>
        <v>회귀자의 슬기로운 복수생활</v>
      </c>
      <c r="J852">
        <v>100</v>
      </c>
      <c r="K852">
        <v>1100</v>
      </c>
      <c r="L852">
        <v>11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1100</v>
      </c>
      <c r="AH852">
        <v>11</v>
      </c>
      <c r="AI852">
        <v>0</v>
      </c>
      <c r="AJ852">
        <v>0</v>
      </c>
      <c r="AK852">
        <v>1100</v>
      </c>
      <c r="AL852">
        <v>0</v>
      </c>
      <c r="AM852">
        <v>0</v>
      </c>
      <c r="AN852">
        <v>0</v>
      </c>
      <c r="AO852">
        <v>0</v>
      </c>
      <c r="AP852">
        <v>770</v>
      </c>
      <c r="AT852" t="str">
        <f t="shared" si="190"/>
        <v>9791137601710</v>
      </c>
      <c r="AV852" t="str">
        <f t="shared" si="191"/>
        <v>판타지 웹소설 &gt; 퓨전 판타지</v>
      </c>
    </row>
    <row r="853" spans="1:48" x14ac:dyDescent="0.4">
      <c r="A853">
        <v>2313017657</v>
      </c>
      <c r="B853">
        <v>2313017813</v>
      </c>
      <c r="C853" t="str">
        <f>T("회귀자의 슬기로운 복수생활 157화")</f>
        <v>회귀자의 슬기로운 복수생활 157화</v>
      </c>
      <c r="D853" t="str">
        <f>T("157")</f>
        <v>157</v>
      </c>
      <c r="E853" t="str">
        <f t="shared" si="187"/>
        <v>구공</v>
      </c>
      <c r="H853" t="str">
        <f t="shared" si="188"/>
        <v>스토리위즈</v>
      </c>
      <c r="I853" t="str">
        <f t="shared" si="189"/>
        <v>회귀자의 슬기로운 복수생활</v>
      </c>
      <c r="J853">
        <v>100</v>
      </c>
      <c r="K853">
        <v>1100</v>
      </c>
      <c r="L853">
        <v>11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1100</v>
      </c>
      <c r="AH853">
        <v>11</v>
      </c>
      <c r="AI853">
        <v>0</v>
      </c>
      <c r="AJ853">
        <v>0</v>
      </c>
      <c r="AK853">
        <v>1100</v>
      </c>
      <c r="AL853">
        <v>0</v>
      </c>
      <c r="AM853">
        <v>0</v>
      </c>
      <c r="AN853">
        <v>0</v>
      </c>
      <c r="AO853">
        <v>0</v>
      </c>
      <c r="AP853">
        <v>770</v>
      </c>
      <c r="AT853" t="str">
        <f t="shared" si="190"/>
        <v>9791137601710</v>
      </c>
      <c r="AV853" t="str">
        <f t="shared" si="191"/>
        <v>판타지 웹소설 &gt; 퓨전 판타지</v>
      </c>
    </row>
    <row r="854" spans="1:48" x14ac:dyDescent="0.4">
      <c r="A854">
        <v>2313017657</v>
      </c>
      <c r="B854">
        <v>2313017814</v>
      </c>
      <c r="C854" t="str">
        <f>T("회귀자의 슬기로운 복수생활 158화")</f>
        <v>회귀자의 슬기로운 복수생활 158화</v>
      </c>
      <c r="D854" t="str">
        <f>T("158")</f>
        <v>158</v>
      </c>
      <c r="E854" t="str">
        <f t="shared" si="187"/>
        <v>구공</v>
      </c>
      <c r="H854" t="str">
        <f t="shared" si="188"/>
        <v>스토리위즈</v>
      </c>
      <c r="I854" t="str">
        <f t="shared" si="189"/>
        <v>회귀자의 슬기로운 복수생활</v>
      </c>
      <c r="J854">
        <v>100</v>
      </c>
      <c r="K854">
        <v>1100</v>
      </c>
      <c r="L854">
        <v>11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1100</v>
      </c>
      <c r="AH854">
        <v>11</v>
      </c>
      <c r="AI854">
        <v>0</v>
      </c>
      <c r="AJ854">
        <v>0</v>
      </c>
      <c r="AK854">
        <v>1100</v>
      </c>
      <c r="AL854">
        <v>0</v>
      </c>
      <c r="AM854">
        <v>0</v>
      </c>
      <c r="AN854">
        <v>0</v>
      </c>
      <c r="AO854">
        <v>0</v>
      </c>
      <c r="AP854">
        <v>770</v>
      </c>
      <c r="AT854" t="str">
        <f t="shared" si="190"/>
        <v>9791137601710</v>
      </c>
      <c r="AV854" t="str">
        <f t="shared" si="191"/>
        <v>판타지 웹소설 &gt; 퓨전 판타지</v>
      </c>
    </row>
    <row r="855" spans="1:48" x14ac:dyDescent="0.4">
      <c r="A855">
        <v>2313017657</v>
      </c>
      <c r="B855">
        <v>2313017815</v>
      </c>
      <c r="C855" t="str">
        <f>T("회귀자의 슬기로운 복수생활 159화")</f>
        <v>회귀자의 슬기로운 복수생활 159화</v>
      </c>
      <c r="D855" t="str">
        <f>T("159")</f>
        <v>159</v>
      </c>
      <c r="E855" t="str">
        <f t="shared" si="187"/>
        <v>구공</v>
      </c>
      <c r="H855" t="str">
        <f t="shared" si="188"/>
        <v>스토리위즈</v>
      </c>
      <c r="I855" t="str">
        <f t="shared" si="189"/>
        <v>회귀자의 슬기로운 복수생활</v>
      </c>
      <c r="J855">
        <v>100</v>
      </c>
      <c r="K855">
        <v>1100</v>
      </c>
      <c r="L855">
        <v>11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1100</v>
      </c>
      <c r="AH855">
        <v>11</v>
      </c>
      <c r="AI855">
        <v>0</v>
      </c>
      <c r="AJ855">
        <v>0</v>
      </c>
      <c r="AK855">
        <v>1100</v>
      </c>
      <c r="AL855">
        <v>0</v>
      </c>
      <c r="AM855">
        <v>0</v>
      </c>
      <c r="AN855">
        <v>0</v>
      </c>
      <c r="AO855">
        <v>0</v>
      </c>
      <c r="AP855">
        <v>770</v>
      </c>
      <c r="AT855" t="str">
        <f t="shared" si="190"/>
        <v>9791137601710</v>
      </c>
      <c r="AV855" t="str">
        <f t="shared" si="191"/>
        <v>판타지 웹소설 &gt; 퓨전 판타지</v>
      </c>
    </row>
    <row r="856" spans="1:48" x14ac:dyDescent="0.4">
      <c r="A856">
        <v>2313017657</v>
      </c>
      <c r="B856">
        <v>2313017816</v>
      </c>
      <c r="C856" t="str">
        <f>T("회귀자의 슬기로운 복수생활 160화")</f>
        <v>회귀자의 슬기로운 복수생활 160화</v>
      </c>
      <c r="D856" t="str">
        <f>T("160")</f>
        <v>160</v>
      </c>
      <c r="E856" t="str">
        <f t="shared" si="187"/>
        <v>구공</v>
      </c>
      <c r="H856" t="str">
        <f t="shared" si="188"/>
        <v>스토리위즈</v>
      </c>
      <c r="I856" t="str">
        <f t="shared" si="189"/>
        <v>회귀자의 슬기로운 복수생활</v>
      </c>
      <c r="J856">
        <v>100</v>
      </c>
      <c r="K856">
        <v>1100</v>
      </c>
      <c r="L856">
        <v>11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1100</v>
      </c>
      <c r="AH856">
        <v>11</v>
      </c>
      <c r="AI856">
        <v>0</v>
      </c>
      <c r="AJ856">
        <v>0</v>
      </c>
      <c r="AK856">
        <v>1100</v>
      </c>
      <c r="AL856">
        <v>0</v>
      </c>
      <c r="AM856">
        <v>0</v>
      </c>
      <c r="AN856">
        <v>0</v>
      </c>
      <c r="AO856">
        <v>0</v>
      </c>
      <c r="AP856">
        <v>770</v>
      </c>
      <c r="AT856" t="str">
        <f t="shared" si="190"/>
        <v>9791137601710</v>
      </c>
      <c r="AV856" t="str">
        <f t="shared" si="191"/>
        <v>판타지 웹소설 &gt; 퓨전 판타지</v>
      </c>
    </row>
    <row r="857" spans="1:48" x14ac:dyDescent="0.4">
      <c r="A857">
        <v>2313017657</v>
      </c>
      <c r="B857">
        <v>2313017817</v>
      </c>
      <c r="C857" t="str">
        <f>T("회귀자의 슬기로운 복수생활 161화")</f>
        <v>회귀자의 슬기로운 복수생활 161화</v>
      </c>
      <c r="D857" t="str">
        <f>T("161")</f>
        <v>161</v>
      </c>
      <c r="E857" t="str">
        <f t="shared" si="187"/>
        <v>구공</v>
      </c>
      <c r="H857" t="str">
        <f t="shared" si="188"/>
        <v>스토리위즈</v>
      </c>
      <c r="I857" t="str">
        <f t="shared" si="189"/>
        <v>회귀자의 슬기로운 복수생활</v>
      </c>
      <c r="J857">
        <v>100</v>
      </c>
      <c r="K857">
        <v>1100</v>
      </c>
      <c r="L857">
        <v>11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1100</v>
      </c>
      <c r="AH857">
        <v>11</v>
      </c>
      <c r="AI857">
        <v>0</v>
      </c>
      <c r="AJ857">
        <v>0</v>
      </c>
      <c r="AK857">
        <v>1100</v>
      </c>
      <c r="AL857">
        <v>0</v>
      </c>
      <c r="AM857">
        <v>0</v>
      </c>
      <c r="AN857">
        <v>0</v>
      </c>
      <c r="AO857">
        <v>0</v>
      </c>
      <c r="AP857">
        <v>770</v>
      </c>
      <c r="AT857" t="str">
        <f t="shared" si="190"/>
        <v>9791137601710</v>
      </c>
      <c r="AV857" t="str">
        <f t="shared" si="191"/>
        <v>판타지 웹소설 &gt; 퓨전 판타지</v>
      </c>
    </row>
    <row r="858" spans="1:48" x14ac:dyDescent="0.4">
      <c r="A858">
        <v>2313017657</v>
      </c>
      <c r="B858">
        <v>2313017818</v>
      </c>
      <c r="C858" t="str">
        <f>T("회귀자의 슬기로운 복수생활 162화")</f>
        <v>회귀자의 슬기로운 복수생활 162화</v>
      </c>
      <c r="D858" t="str">
        <f>T("162")</f>
        <v>162</v>
      </c>
      <c r="E858" t="str">
        <f t="shared" si="187"/>
        <v>구공</v>
      </c>
      <c r="H858" t="str">
        <f t="shared" si="188"/>
        <v>스토리위즈</v>
      </c>
      <c r="I858" t="str">
        <f t="shared" si="189"/>
        <v>회귀자의 슬기로운 복수생활</v>
      </c>
      <c r="J858">
        <v>100</v>
      </c>
      <c r="K858">
        <v>1100</v>
      </c>
      <c r="L858">
        <v>11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1100</v>
      </c>
      <c r="AH858">
        <v>11</v>
      </c>
      <c r="AI858">
        <v>0</v>
      </c>
      <c r="AJ858">
        <v>0</v>
      </c>
      <c r="AK858">
        <v>1100</v>
      </c>
      <c r="AL858">
        <v>0</v>
      </c>
      <c r="AM858">
        <v>0</v>
      </c>
      <c r="AN858">
        <v>0</v>
      </c>
      <c r="AO858">
        <v>0</v>
      </c>
      <c r="AP858">
        <v>770</v>
      </c>
      <c r="AT858" t="str">
        <f t="shared" si="190"/>
        <v>9791137601710</v>
      </c>
      <c r="AV858" t="str">
        <f t="shared" si="191"/>
        <v>판타지 웹소설 &gt; 퓨전 판타지</v>
      </c>
    </row>
    <row r="859" spans="1:48" x14ac:dyDescent="0.4">
      <c r="A859">
        <v>2313017657</v>
      </c>
      <c r="B859">
        <v>2313017819</v>
      </c>
      <c r="C859" t="str">
        <f>T("회귀자의 슬기로운 복수생활 163화")</f>
        <v>회귀자의 슬기로운 복수생활 163화</v>
      </c>
      <c r="D859" t="str">
        <f>T("163")</f>
        <v>163</v>
      </c>
      <c r="E859" t="str">
        <f t="shared" si="187"/>
        <v>구공</v>
      </c>
      <c r="H859" t="str">
        <f t="shared" si="188"/>
        <v>스토리위즈</v>
      </c>
      <c r="I859" t="str">
        <f t="shared" si="189"/>
        <v>회귀자의 슬기로운 복수생활</v>
      </c>
      <c r="J859">
        <v>100</v>
      </c>
      <c r="K859">
        <v>1100</v>
      </c>
      <c r="L859">
        <v>11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1100</v>
      </c>
      <c r="AH859">
        <v>11</v>
      </c>
      <c r="AI859">
        <v>0</v>
      </c>
      <c r="AJ859">
        <v>0</v>
      </c>
      <c r="AK859">
        <v>1100</v>
      </c>
      <c r="AL859">
        <v>0</v>
      </c>
      <c r="AM859">
        <v>0</v>
      </c>
      <c r="AN859">
        <v>0</v>
      </c>
      <c r="AO859">
        <v>0</v>
      </c>
      <c r="AP859">
        <v>770</v>
      </c>
      <c r="AT859" t="str">
        <f t="shared" si="190"/>
        <v>9791137601710</v>
      </c>
      <c r="AV859" t="str">
        <f t="shared" si="191"/>
        <v>판타지 웹소설 &gt; 퓨전 판타지</v>
      </c>
    </row>
    <row r="860" spans="1:48" x14ac:dyDescent="0.4">
      <c r="A860">
        <v>2313017657</v>
      </c>
      <c r="B860">
        <v>2313017820</v>
      </c>
      <c r="C860" t="str">
        <f>T("회귀자의 슬기로운 복수생활 164화")</f>
        <v>회귀자의 슬기로운 복수생활 164화</v>
      </c>
      <c r="D860" t="str">
        <f>T("164")</f>
        <v>164</v>
      </c>
      <c r="E860" t="str">
        <f t="shared" si="187"/>
        <v>구공</v>
      </c>
      <c r="H860" t="str">
        <f t="shared" si="188"/>
        <v>스토리위즈</v>
      </c>
      <c r="I860" t="str">
        <f t="shared" si="189"/>
        <v>회귀자의 슬기로운 복수생활</v>
      </c>
      <c r="J860">
        <v>100</v>
      </c>
      <c r="K860">
        <v>1100</v>
      </c>
      <c r="L860">
        <v>11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1100</v>
      </c>
      <c r="AH860">
        <v>11</v>
      </c>
      <c r="AI860">
        <v>0</v>
      </c>
      <c r="AJ860">
        <v>0</v>
      </c>
      <c r="AK860">
        <v>1100</v>
      </c>
      <c r="AL860">
        <v>0</v>
      </c>
      <c r="AM860">
        <v>0</v>
      </c>
      <c r="AN860">
        <v>0</v>
      </c>
      <c r="AO860">
        <v>0</v>
      </c>
      <c r="AP860">
        <v>770</v>
      </c>
      <c r="AT860" t="str">
        <f t="shared" si="190"/>
        <v>9791137601710</v>
      </c>
      <c r="AV860" t="str">
        <f t="shared" si="191"/>
        <v>판타지 웹소설 &gt; 퓨전 판타지</v>
      </c>
    </row>
    <row r="861" spans="1:48" x14ac:dyDescent="0.4">
      <c r="A861">
        <v>2313017657</v>
      </c>
      <c r="B861">
        <v>2313017821</v>
      </c>
      <c r="C861" t="str">
        <f>T("회귀자의 슬기로운 복수생활 165화")</f>
        <v>회귀자의 슬기로운 복수생활 165화</v>
      </c>
      <c r="D861" t="str">
        <f>T("165")</f>
        <v>165</v>
      </c>
      <c r="E861" t="str">
        <f t="shared" si="187"/>
        <v>구공</v>
      </c>
      <c r="H861" t="str">
        <f t="shared" si="188"/>
        <v>스토리위즈</v>
      </c>
      <c r="I861" t="str">
        <f t="shared" si="189"/>
        <v>회귀자의 슬기로운 복수생활</v>
      </c>
      <c r="J861">
        <v>100</v>
      </c>
      <c r="K861">
        <v>1100</v>
      </c>
      <c r="L861">
        <v>11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1100</v>
      </c>
      <c r="AH861">
        <v>11</v>
      </c>
      <c r="AI861">
        <v>0</v>
      </c>
      <c r="AJ861">
        <v>0</v>
      </c>
      <c r="AK861">
        <v>1100</v>
      </c>
      <c r="AL861">
        <v>0</v>
      </c>
      <c r="AM861">
        <v>0</v>
      </c>
      <c r="AN861">
        <v>0</v>
      </c>
      <c r="AO861">
        <v>0</v>
      </c>
      <c r="AP861">
        <v>770</v>
      </c>
      <c r="AT861" t="str">
        <f t="shared" si="190"/>
        <v>9791137601710</v>
      </c>
      <c r="AV861" t="str">
        <f t="shared" si="191"/>
        <v>판타지 웹소설 &gt; 퓨전 판타지</v>
      </c>
    </row>
    <row r="862" spans="1:48" x14ac:dyDescent="0.4">
      <c r="A862">
        <v>2313017657</v>
      </c>
      <c r="B862">
        <v>2313017822</v>
      </c>
      <c r="C862" t="str">
        <f>T("회귀자의 슬기로운 복수생활 166화")</f>
        <v>회귀자의 슬기로운 복수생활 166화</v>
      </c>
      <c r="D862" t="str">
        <f>T("166")</f>
        <v>166</v>
      </c>
      <c r="E862" t="str">
        <f t="shared" si="187"/>
        <v>구공</v>
      </c>
      <c r="H862" t="str">
        <f t="shared" si="188"/>
        <v>스토리위즈</v>
      </c>
      <c r="I862" t="str">
        <f t="shared" si="189"/>
        <v>회귀자의 슬기로운 복수생활</v>
      </c>
      <c r="J862">
        <v>100</v>
      </c>
      <c r="K862">
        <v>1100</v>
      </c>
      <c r="L862">
        <v>11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1100</v>
      </c>
      <c r="AH862">
        <v>11</v>
      </c>
      <c r="AI862">
        <v>0</v>
      </c>
      <c r="AJ862">
        <v>0</v>
      </c>
      <c r="AK862">
        <v>1100</v>
      </c>
      <c r="AL862">
        <v>0</v>
      </c>
      <c r="AM862">
        <v>0</v>
      </c>
      <c r="AN862">
        <v>0</v>
      </c>
      <c r="AO862">
        <v>0</v>
      </c>
      <c r="AP862">
        <v>770</v>
      </c>
      <c r="AT862" t="str">
        <f t="shared" si="190"/>
        <v>9791137601710</v>
      </c>
      <c r="AV862" t="str">
        <f t="shared" si="191"/>
        <v>판타지 웹소설 &gt; 퓨전 판타지</v>
      </c>
    </row>
    <row r="863" spans="1:48" x14ac:dyDescent="0.4">
      <c r="A863">
        <v>2313017657</v>
      </c>
      <c r="B863">
        <v>2313017823</v>
      </c>
      <c r="C863" t="str">
        <f>T("회귀자의 슬기로운 복수생활 167화")</f>
        <v>회귀자의 슬기로운 복수생활 167화</v>
      </c>
      <c r="D863" t="str">
        <f>T("167")</f>
        <v>167</v>
      </c>
      <c r="E863" t="str">
        <f t="shared" si="187"/>
        <v>구공</v>
      </c>
      <c r="H863" t="str">
        <f t="shared" si="188"/>
        <v>스토리위즈</v>
      </c>
      <c r="I863" t="str">
        <f t="shared" si="189"/>
        <v>회귀자의 슬기로운 복수생활</v>
      </c>
      <c r="J863">
        <v>100</v>
      </c>
      <c r="K863">
        <v>1100</v>
      </c>
      <c r="L863">
        <v>11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1100</v>
      </c>
      <c r="AH863">
        <v>11</v>
      </c>
      <c r="AI863">
        <v>0</v>
      </c>
      <c r="AJ863">
        <v>0</v>
      </c>
      <c r="AK863">
        <v>1100</v>
      </c>
      <c r="AL863">
        <v>0</v>
      </c>
      <c r="AM863">
        <v>0</v>
      </c>
      <c r="AN863">
        <v>0</v>
      </c>
      <c r="AO863">
        <v>0</v>
      </c>
      <c r="AP863">
        <v>770</v>
      </c>
      <c r="AT863" t="str">
        <f t="shared" si="190"/>
        <v>9791137601710</v>
      </c>
      <c r="AV863" t="str">
        <f t="shared" si="191"/>
        <v>판타지 웹소설 &gt; 퓨전 판타지</v>
      </c>
    </row>
    <row r="864" spans="1:48" x14ac:dyDescent="0.4">
      <c r="A864">
        <v>2313017657</v>
      </c>
      <c r="B864">
        <v>2313017824</v>
      </c>
      <c r="C864" t="str">
        <f>T("회귀자의 슬기로운 복수생활 168화")</f>
        <v>회귀자의 슬기로운 복수생활 168화</v>
      </c>
      <c r="D864" t="str">
        <f>T("168")</f>
        <v>168</v>
      </c>
      <c r="E864" t="str">
        <f t="shared" si="187"/>
        <v>구공</v>
      </c>
      <c r="H864" t="str">
        <f t="shared" si="188"/>
        <v>스토리위즈</v>
      </c>
      <c r="I864" t="str">
        <f t="shared" si="189"/>
        <v>회귀자의 슬기로운 복수생활</v>
      </c>
      <c r="J864">
        <v>100</v>
      </c>
      <c r="K864">
        <v>1100</v>
      </c>
      <c r="L864">
        <v>11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1100</v>
      </c>
      <c r="AH864">
        <v>11</v>
      </c>
      <c r="AI864">
        <v>0</v>
      </c>
      <c r="AJ864">
        <v>0</v>
      </c>
      <c r="AK864">
        <v>1100</v>
      </c>
      <c r="AL864">
        <v>0</v>
      </c>
      <c r="AM864">
        <v>0</v>
      </c>
      <c r="AN864">
        <v>0</v>
      </c>
      <c r="AO864">
        <v>0</v>
      </c>
      <c r="AP864">
        <v>770</v>
      </c>
      <c r="AT864" t="str">
        <f t="shared" si="190"/>
        <v>9791137601710</v>
      </c>
      <c r="AV864" t="str">
        <f t="shared" si="191"/>
        <v>판타지 웹소설 &gt; 퓨전 판타지</v>
      </c>
    </row>
    <row r="865" spans="1:48" x14ac:dyDescent="0.4">
      <c r="A865">
        <v>2313017657</v>
      </c>
      <c r="B865">
        <v>2313017828</v>
      </c>
      <c r="C865" t="str">
        <f>T("회귀자의 슬기로운 복수생활 172화")</f>
        <v>회귀자의 슬기로운 복수생활 172화</v>
      </c>
      <c r="D865" t="str">
        <f>T("172")</f>
        <v>172</v>
      </c>
      <c r="E865" t="str">
        <f t="shared" si="187"/>
        <v>구공</v>
      </c>
      <c r="H865" t="str">
        <f t="shared" si="188"/>
        <v>스토리위즈</v>
      </c>
      <c r="I865" t="str">
        <f t="shared" si="189"/>
        <v>회귀자의 슬기로운 복수생활</v>
      </c>
      <c r="J865">
        <v>100</v>
      </c>
      <c r="K865">
        <v>1100</v>
      </c>
      <c r="L865">
        <v>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1100</v>
      </c>
      <c r="AH865">
        <v>11</v>
      </c>
      <c r="AI865">
        <v>0</v>
      </c>
      <c r="AJ865">
        <v>0</v>
      </c>
      <c r="AK865">
        <v>1100</v>
      </c>
      <c r="AL865">
        <v>0</v>
      </c>
      <c r="AM865">
        <v>0</v>
      </c>
      <c r="AN865">
        <v>0</v>
      </c>
      <c r="AO865">
        <v>0</v>
      </c>
      <c r="AP865">
        <v>770</v>
      </c>
      <c r="AT865" t="str">
        <f t="shared" si="190"/>
        <v>9791137601710</v>
      </c>
      <c r="AV865" t="str">
        <f t="shared" si="191"/>
        <v>판타지 웹소설 &gt; 퓨전 판타지</v>
      </c>
    </row>
    <row r="866" spans="1:48" x14ac:dyDescent="0.4">
      <c r="A866">
        <v>2313017657</v>
      </c>
      <c r="B866">
        <v>2313017829</v>
      </c>
      <c r="C866" t="str">
        <f>T("회귀자의 슬기로운 복수생활 173화")</f>
        <v>회귀자의 슬기로운 복수생활 173화</v>
      </c>
      <c r="D866" t="str">
        <f>T("173")</f>
        <v>173</v>
      </c>
      <c r="E866" t="str">
        <f t="shared" si="187"/>
        <v>구공</v>
      </c>
      <c r="H866" t="str">
        <f t="shared" si="188"/>
        <v>스토리위즈</v>
      </c>
      <c r="I866" t="str">
        <f t="shared" si="189"/>
        <v>회귀자의 슬기로운 복수생활</v>
      </c>
      <c r="J866">
        <v>100</v>
      </c>
      <c r="K866">
        <v>1100</v>
      </c>
      <c r="L866">
        <v>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1100</v>
      </c>
      <c r="AH866">
        <v>11</v>
      </c>
      <c r="AI866">
        <v>0</v>
      </c>
      <c r="AJ866">
        <v>0</v>
      </c>
      <c r="AK866">
        <v>1100</v>
      </c>
      <c r="AL866">
        <v>0</v>
      </c>
      <c r="AM866">
        <v>0</v>
      </c>
      <c r="AN866">
        <v>0</v>
      </c>
      <c r="AO866">
        <v>0</v>
      </c>
      <c r="AP866">
        <v>770</v>
      </c>
      <c r="AT866" t="str">
        <f t="shared" si="190"/>
        <v>9791137601710</v>
      </c>
      <c r="AV866" t="str">
        <f t="shared" si="191"/>
        <v>판타지 웹소설 &gt; 퓨전 판타지</v>
      </c>
    </row>
    <row r="867" spans="1:48" x14ac:dyDescent="0.4">
      <c r="A867">
        <v>2313017657</v>
      </c>
      <c r="B867">
        <v>2313017830</v>
      </c>
      <c r="C867" t="str">
        <f>T("회귀자의 슬기로운 복수생활 174화")</f>
        <v>회귀자의 슬기로운 복수생활 174화</v>
      </c>
      <c r="D867" t="str">
        <f>T("174")</f>
        <v>174</v>
      </c>
      <c r="E867" t="str">
        <f t="shared" si="187"/>
        <v>구공</v>
      </c>
      <c r="H867" t="str">
        <f t="shared" si="188"/>
        <v>스토리위즈</v>
      </c>
      <c r="I867" t="str">
        <f t="shared" si="189"/>
        <v>회귀자의 슬기로운 복수생활</v>
      </c>
      <c r="J867">
        <v>100</v>
      </c>
      <c r="K867">
        <v>1100</v>
      </c>
      <c r="L867">
        <v>11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1100</v>
      </c>
      <c r="AH867">
        <v>11</v>
      </c>
      <c r="AI867">
        <v>0</v>
      </c>
      <c r="AJ867">
        <v>0</v>
      </c>
      <c r="AK867">
        <v>1100</v>
      </c>
      <c r="AL867">
        <v>0</v>
      </c>
      <c r="AM867">
        <v>0</v>
      </c>
      <c r="AN867">
        <v>0</v>
      </c>
      <c r="AO867">
        <v>0</v>
      </c>
      <c r="AP867">
        <v>770</v>
      </c>
      <c r="AT867" t="str">
        <f t="shared" si="190"/>
        <v>9791137601710</v>
      </c>
      <c r="AV867" t="str">
        <f t="shared" si="191"/>
        <v>판타지 웹소설 &gt; 퓨전 판타지</v>
      </c>
    </row>
    <row r="868" spans="1:48" x14ac:dyDescent="0.4">
      <c r="A868">
        <v>2313017657</v>
      </c>
      <c r="B868">
        <v>2313017831</v>
      </c>
      <c r="C868" t="str">
        <f>T("회귀자의 슬기로운 복수생활 175화")</f>
        <v>회귀자의 슬기로운 복수생활 175화</v>
      </c>
      <c r="D868" t="str">
        <f>T("175")</f>
        <v>175</v>
      </c>
      <c r="E868" t="str">
        <f t="shared" si="187"/>
        <v>구공</v>
      </c>
      <c r="H868" t="str">
        <f t="shared" si="188"/>
        <v>스토리위즈</v>
      </c>
      <c r="I868" t="str">
        <f t="shared" si="189"/>
        <v>회귀자의 슬기로운 복수생활</v>
      </c>
      <c r="J868">
        <v>100</v>
      </c>
      <c r="K868">
        <v>1100</v>
      </c>
      <c r="L868">
        <v>11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1100</v>
      </c>
      <c r="AH868">
        <v>11</v>
      </c>
      <c r="AI868">
        <v>0</v>
      </c>
      <c r="AJ868">
        <v>0</v>
      </c>
      <c r="AK868">
        <v>1100</v>
      </c>
      <c r="AL868">
        <v>0</v>
      </c>
      <c r="AM868">
        <v>0</v>
      </c>
      <c r="AN868">
        <v>0</v>
      </c>
      <c r="AO868">
        <v>0</v>
      </c>
      <c r="AP868">
        <v>770</v>
      </c>
      <c r="AT868" t="str">
        <f t="shared" si="190"/>
        <v>9791137601710</v>
      </c>
      <c r="AV868" t="str">
        <f t="shared" si="191"/>
        <v>판타지 웹소설 &gt; 퓨전 판타지</v>
      </c>
    </row>
    <row r="869" spans="1:48" x14ac:dyDescent="0.4">
      <c r="A869">
        <v>2313017657</v>
      </c>
      <c r="B869">
        <v>2313017832</v>
      </c>
      <c r="C869" t="str">
        <f>T("회귀자의 슬기로운 복수생활 176화")</f>
        <v>회귀자의 슬기로운 복수생활 176화</v>
      </c>
      <c r="D869" t="str">
        <f>T("176")</f>
        <v>176</v>
      </c>
      <c r="E869" t="str">
        <f t="shared" si="187"/>
        <v>구공</v>
      </c>
      <c r="H869" t="str">
        <f t="shared" si="188"/>
        <v>스토리위즈</v>
      </c>
      <c r="I869" t="str">
        <f t="shared" si="189"/>
        <v>회귀자의 슬기로운 복수생활</v>
      </c>
      <c r="J869">
        <v>100</v>
      </c>
      <c r="K869">
        <v>1100</v>
      </c>
      <c r="L869">
        <v>11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1100</v>
      </c>
      <c r="AH869">
        <v>11</v>
      </c>
      <c r="AI869">
        <v>0</v>
      </c>
      <c r="AJ869">
        <v>0</v>
      </c>
      <c r="AK869">
        <v>1100</v>
      </c>
      <c r="AL869">
        <v>0</v>
      </c>
      <c r="AM869">
        <v>0</v>
      </c>
      <c r="AN869">
        <v>0</v>
      </c>
      <c r="AO869">
        <v>0</v>
      </c>
      <c r="AP869">
        <v>770</v>
      </c>
      <c r="AT869" t="str">
        <f t="shared" si="190"/>
        <v>9791137601710</v>
      </c>
      <c r="AV869" t="str">
        <f t="shared" si="191"/>
        <v>판타지 웹소설 &gt; 퓨전 판타지</v>
      </c>
    </row>
    <row r="870" spans="1:48" x14ac:dyDescent="0.4">
      <c r="A870">
        <v>2313017657</v>
      </c>
      <c r="B870">
        <v>2313017837</v>
      </c>
      <c r="C870" t="str">
        <f>T("회귀자의 슬기로운 복수생활 181화")</f>
        <v>회귀자의 슬기로운 복수생활 181화</v>
      </c>
      <c r="D870" t="str">
        <f>T("181")</f>
        <v>181</v>
      </c>
      <c r="E870" t="str">
        <f t="shared" si="187"/>
        <v>구공</v>
      </c>
      <c r="H870" t="str">
        <f t="shared" si="188"/>
        <v>스토리위즈</v>
      </c>
      <c r="I870" t="str">
        <f t="shared" si="189"/>
        <v>회귀자의 슬기로운 복수생활</v>
      </c>
      <c r="J870">
        <v>100</v>
      </c>
      <c r="K870">
        <v>1100</v>
      </c>
      <c r="L870">
        <v>11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1100</v>
      </c>
      <c r="AH870">
        <v>11</v>
      </c>
      <c r="AI870">
        <v>0</v>
      </c>
      <c r="AJ870">
        <v>0</v>
      </c>
      <c r="AK870">
        <v>1100</v>
      </c>
      <c r="AL870">
        <v>0</v>
      </c>
      <c r="AM870">
        <v>0</v>
      </c>
      <c r="AN870">
        <v>0</v>
      </c>
      <c r="AO870">
        <v>0</v>
      </c>
      <c r="AP870">
        <v>770</v>
      </c>
      <c r="AT870" t="str">
        <f t="shared" si="190"/>
        <v>9791137601710</v>
      </c>
      <c r="AV870" t="str">
        <f t="shared" si="191"/>
        <v>판타지 웹소설 &gt; 퓨전 판타지</v>
      </c>
    </row>
    <row r="871" spans="1:48" x14ac:dyDescent="0.4">
      <c r="A871">
        <v>2313017657</v>
      </c>
      <c r="B871">
        <v>2313017838</v>
      </c>
      <c r="C871" t="str">
        <f>T("회귀자의 슬기로운 복수생활 182화")</f>
        <v>회귀자의 슬기로운 복수생활 182화</v>
      </c>
      <c r="D871" t="str">
        <f>T("182")</f>
        <v>182</v>
      </c>
      <c r="E871" t="str">
        <f t="shared" si="187"/>
        <v>구공</v>
      </c>
      <c r="H871" t="str">
        <f t="shared" si="188"/>
        <v>스토리위즈</v>
      </c>
      <c r="I871" t="str">
        <f t="shared" si="189"/>
        <v>회귀자의 슬기로운 복수생활</v>
      </c>
      <c r="J871">
        <v>100</v>
      </c>
      <c r="K871">
        <v>1100</v>
      </c>
      <c r="L871">
        <v>11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1100</v>
      </c>
      <c r="AH871">
        <v>11</v>
      </c>
      <c r="AI871">
        <v>0</v>
      </c>
      <c r="AJ871">
        <v>0</v>
      </c>
      <c r="AK871">
        <v>1100</v>
      </c>
      <c r="AL871">
        <v>0</v>
      </c>
      <c r="AM871">
        <v>0</v>
      </c>
      <c r="AN871">
        <v>0</v>
      </c>
      <c r="AO871">
        <v>0</v>
      </c>
      <c r="AP871">
        <v>770</v>
      </c>
      <c r="AT871" t="str">
        <f t="shared" si="190"/>
        <v>9791137601710</v>
      </c>
      <c r="AV871" t="str">
        <f t="shared" si="191"/>
        <v>판타지 웹소설 &gt; 퓨전 판타지</v>
      </c>
    </row>
    <row r="872" spans="1:48" x14ac:dyDescent="0.4">
      <c r="A872">
        <v>2313017657</v>
      </c>
      <c r="B872">
        <v>2313017839</v>
      </c>
      <c r="C872" t="str">
        <f>T("회귀자의 슬기로운 복수생활 183화")</f>
        <v>회귀자의 슬기로운 복수생활 183화</v>
      </c>
      <c r="D872" t="str">
        <f>T("183")</f>
        <v>183</v>
      </c>
      <c r="E872" t="str">
        <f t="shared" si="187"/>
        <v>구공</v>
      </c>
      <c r="H872" t="str">
        <f t="shared" si="188"/>
        <v>스토리위즈</v>
      </c>
      <c r="I872" t="str">
        <f t="shared" si="189"/>
        <v>회귀자의 슬기로운 복수생활</v>
      </c>
      <c r="J872">
        <v>100</v>
      </c>
      <c r="K872">
        <v>1100</v>
      </c>
      <c r="L872">
        <v>11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1100</v>
      </c>
      <c r="AH872">
        <v>11</v>
      </c>
      <c r="AI872">
        <v>0</v>
      </c>
      <c r="AJ872">
        <v>0</v>
      </c>
      <c r="AK872">
        <v>1100</v>
      </c>
      <c r="AL872">
        <v>0</v>
      </c>
      <c r="AM872">
        <v>0</v>
      </c>
      <c r="AN872">
        <v>0</v>
      </c>
      <c r="AO872">
        <v>0</v>
      </c>
      <c r="AP872">
        <v>770</v>
      </c>
      <c r="AT872" t="str">
        <f t="shared" si="190"/>
        <v>9791137601710</v>
      </c>
      <c r="AV872" t="str">
        <f t="shared" si="191"/>
        <v>판타지 웹소설 &gt; 퓨전 판타지</v>
      </c>
    </row>
    <row r="873" spans="1:48" x14ac:dyDescent="0.4">
      <c r="A873">
        <v>2313017657</v>
      </c>
      <c r="B873">
        <v>2313017843</v>
      </c>
      <c r="C873" t="str">
        <f>T("회귀자의 슬기로운 복수생활 187화")</f>
        <v>회귀자의 슬기로운 복수생활 187화</v>
      </c>
      <c r="D873" t="str">
        <f>T("187")</f>
        <v>187</v>
      </c>
      <c r="E873" t="str">
        <f t="shared" si="187"/>
        <v>구공</v>
      </c>
      <c r="H873" t="str">
        <f t="shared" si="188"/>
        <v>스토리위즈</v>
      </c>
      <c r="I873" t="str">
        <f t="shared" si="189"/>
        <v>회귀자의 슬기로운 복수생활</v>
      </c>
      <c r="J873">
        <v>100</v>
      </c>
      <c r="K873">
        <v>1100</v>
      </c>
      <c r="L873">
        <v>11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1100</v>
      </c>
      <c r="AH873">
        <v>11</v>
      </c>
      <c r="AI873">
        <v>0</v>
      </c>
      <c r="AJ873">
        <v>0</v>
      </c>
      <c r="AK873">
        <v>1100</v>
      </c>
      <c r="AL873">
        <v>0</v>
      </c>
      <c r="AM873">
        <v>0</v>
      </c>
      <c r="AN873">
        <v>0</v>
      </c>
      <c r="AO873">
        <v>0</v>
      </c>
      <c r="AP873">
        <v>770</v>
      </c>
      <c r="AT873" t="str">
        <f t="shared" si="190"/>
        <v>9791137601710</v>
      </c>
      <c r="AV873" t="str">
        <f t="shared" si="191"/>
        <v>판타지 웹소설 &gt; 퓨전 판타지</v>
      </c>
    </row>
    <row r="874" spans="1:48" x14ac:dyDescent="0.4">
      <c r="A874">
        <v>2313017657</v>
      </c>
      <c r="B874">
        <v>2313017844</v>
      </c>
      <c r="C874" t="str">
        <f>T("회귀자의 슬기로운 복수생활 188화")</f>
        <v>회귀자의 슬기로운 복수생활 188화</v>
      </c>
      <c r="D874" t="str">
        <f>T("188")</f>
        <v>188</v>
      </c>
      <c r="E874" t="str">
        <f t="shared" si="187"/>
        <v>구공</v>
      </c>
      <c r="H874" t="str">
        <f t="shared" si="188"/>
        <v>스토리위즈</v>
      </c>
      <c r="I874" t="str">
        <f t="shared" si="189"/>
        <v>회귀자의 슬기로운 복수생활</v>
      </c>
      <c r="J874">
        <v>100</v>
      </c>
      <c r="K874">
        <v>1100</v>
      </c>
      <c r="L874">
        <v>11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1100</v>
      </c>
      <c r="AH874">
        <v>11</v>
      </c>
      <c r="AI874">
        <v>0</v>
      </c>
      <c r="AJ874">
        <v>0</v>
      </c>
      <c r="AK874">
        <v>1100</v>
      </c>
      <c r="AL874">
        <v>0</v>
      </c>
      <c r="AM874">
        <v>0</v>
      </c>
      <c r="AN874">
        <v>0</v>
      </c>
      <c r="AO874">
        <v>0</v>
      </c>
      <c r="AP874">
        <v>770</v>
      </c>
      <c r="AT874" t="str">
        <f t="shared" si="190"/>
        <v>9791137601710</v>
      </c>
      <c r="AV874" t="str">
        <f t="shared" si="191"/>
        <v>판타지 웹소설 &gt; 퓨전 판타지</v>
      </c>
    </row>
    <row r="875" spans="1:48" x14ac:dyDescent="0.4">
      <c r="A875">
        <v>2313017657</v>
      </c>
      <c r="B875">
        <v>2313017845</v>
      </c>
      <c r="C875" t="str">
        <f>T("회귀자의 슬기로운 복수생활 189화")</f>
        <v>회귀자의 슬기로운 복수생활 189화</v>
      </c>
      <c r="D875" t="str">
        <f>T("189")</f>
        <v>189</v>
      </c>
      <c r="E875" t="str">
        <f t="shared" si="187"/>
        <v>구공</v>
      </c>
      <c r="H875" t="str">
        <f t="shared" si="188"/>
        <v>스토리위즈</v>
      </c>
      <c r="I875" t="str">
        <f t="shared" si="189"/>
        <v>회귀자의 슬기로운 복수생활</v>
      </c>
      <c r="J875">
        <v>100</v>
      </c>
      <c r="K875">
        <v>1100</v>
      </c>
      <c r="L875">
        <v>11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1100</v>
      </c>
      <c r="AH875">
        <v>11</v>
      </c>
      <c r="AI875">
        <v>0</v>
      </c>
      <c r="AJ875">
        <v>0</v>
      </c>
      <c r="AK875">
        <v>1100</v>
      </c>
      <c r="AL875">
        <v>0</v>
      </c>
      <c r="AM875">
        <v>0</v>
      </c>
      <c r="AN875">
        <v>0</v>
      </c>
      <c r="AO875">
        <v>0</v>
      </c>
      <c r="AP875">
        <v>770</v>
      </c>
      <c r="AT875" t="str">
        <f t="shared" si="190"/>
        <v>9791137601710</v>
      </c>
      <c r="AV875" t="str">
        <f t="shared" si="191"/>
        <v>판타지 웹소설 &gt; 퓨전 판타지</v>
      </c>
    </row>
    <row r="876" spans="1:48" x14ac:dyDescent="0.4">
      <c r="A876">
        <v>2313017657</v>
      </c>
      <c r="B876">
        <v>2313017846</v>
      </c>
      <c r="C876" t="str">
        <f>T("회귀자의 슬기로운 복수생활 190화")</f>
        <v>회귀자의 슬기로운 복수생활 190화</v>
      </c>
      <c r="D876" t="str">
        <f>T("190")</f>
        <v>190</v>
      </c>
      <c r="E876" t="str">
        <f t="shared" si="187"/>
        <v>구공</v>
      </c>
      <c r="H876" t="str">
        <f t="shared" si="188"/>
        <v>스토리위즈</v>
      </c>
      <c r="I876" t="str">
        <f t="shared" si="189"/>
        <v>회귀자의 슬기로운 복수생활</v>
      </c>
      <c r="J876">
        <v>100</v>
      </c>
      <c r="K876">
        <v>1100</v>
      </c>
      <c r="L876">
        <v>11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1100</v>
      </c>
      <c r="AH876">
        <v>11</v>
      </c>
      <c r="AI876">
        <v>0</v>
      </c>
      <c r="AJ876">
        <v>0</v>
      </c>
      <c r="AK876">
        <v>1100</v>
      </c>
      <c r="AL876">
        <v>0</v>
      </c>
      <c r="AM876">
        <v>0</v>
      </c>
      <c r="AN876">
        <v>0</v>
      </c>
      <c r="AO876">
        <v>0</v>
      </c>
      <c r="AP876">
        <v>770</v>
      </c>
      <c r="AT876" t="str">
        <f t="shared" si="190"/>
        <v>9791137601710</v>
      </c>
      <c r="AV876" t="str">
        <f t="shared" si="191"/>
        <v>판타지 웹소설 &gt; 퓨전 판타지</v>
      </c>
    </row>
    <row r="877" spans="1:48" x14ac:dyDescent="0.4">
      <c r="A877">
        <v>2313007845</v>
      </c>
      <c r="B877">
        <v>2313008036</v>
      </c>
      <c r="C877" t="str">
        <f>T("간신이 나라를 살림 192화")</f>
        <v>간신이 나라를 살림 192화</v>
      </c>
      <c r="D877" t="str">
        <f>T("192")</f>
        <v>192</v>
      </c>
      <c r="E877" t="str">
        <f t="shared" ref="E877:E897" si="192">T("루이세")</f>
        <v>루이세</v>
      </c>
      <c r="H877" t="str">
        <f t="shared" si="188"/>
        <v>스토리위즈</v>
      </c>
      <c r="I877" t="str">
        <f t="shared" ref="I877:I897" si="193">T("간신이 나라를 살림")</f>
        <v>간신이 나라를 살림</v>
      </c>
      <c r="J877">
        <v>100</v>
      </c>
      <c r="K877">
        <v>1000</v>
      </c>
      <c r="L877">
        <v>10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1000</v>
      </c>
      <c r="AH877">
        <v>10</v>
      </c>
      <c r="AI877">
        <v>0</v>
      </c>
      <c r="AJ877">
        <v>0</v>
      </c>
      <c r="AK877">
        <v>1000</v>
      </c>
      <c r="AL877">
        <v>0</v>
      </c>
      <c r="AM877">
        <v>0</v>
      </c>
      <c r="AN877">
        <v>0</v>
      </c>
      <c r="AO877">
        <v>0</v>
      </c>
      <c r="AP877">
        <v>700</v>
      </c>
      <c r="AT877" t="str">
        <f t="shared" ref="AT877:AT897" si="194">T("9791159284663")</f>
        <v>9791159284663</v>
      </c>
      <c r="AV877" t="str">
        <f t="shared" si="191"/>
        <v>판타지 웹소설 &gt; 퓨전 판타지</v>
      </c>
    </row>
    <row r="878" spans="1:48" x14ac:dyDescent="0.4">
      <c r="A878">
        <v>2313007845</v>
      </c>
      <c r="B878">
        <v>2313008037</v>
      </c>
      <c r="C878" t="str">
        <f>T("간신이 나라를 살림 193화")</f>
        <v>간신이 나라를 살림 193화</v>
      </c>
      <c r="D878" t="str">
        <f>T("193")</f>
        <v>193</v>
      </c>
      <c r="E878" t="str">
        <f t="shared" si="192"/>
        <v>루이세</v>
      </c>
      <c r="H878" t="str">
        <f t="shared" si="188"/>
        <v>스토리위즈</v>
      </c>
      <c r="I878" t="str">
        <f t="shared" si="193"/>
        <v>간신이 나라를 살림</v>
      </c>
      <c r="J878">
        <v>100</v>
      </c>
      <c r="K878">
        <v>1000</v>
      </c>
      <c r="L878">
        <v>10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1000</v>
      </c>
      <c r="AH878">
        <v>10</v>
      </c>
      <c r="AI878">
        <v>0</v>
      </c>
      <c r="AJ878">
        <v>0</v>
      </c>
      <c r="AK878">
        <v>1000</v>
      </c>
      <c r="AL878">
        <v>0</v>
      </c>
      <c r="AM878">
        <v>0</v>
      </c>
      <c r="AN878">
        <v>0</v>
      </c>
      <c r="AO878">
        <v>0</v>
      </c>
      <c r="AP878">
        <v>700</v>
      </c>
      <c r="AT878" t="str">
        <f t="shared" si="194"/>
        <v>9791159284663</v>
      </c>
      <c r="AV878" t="str">
        <f t="shared" si="191"/>
        <v>판타지 웹소설 &gt; 퓨전 판타지</v>
      </c>
    </row>
    <row r="879" spans="1:48" x14ac:dyDescent="0.4">
      <c r="A879">
        <v>2313007845</v>
      </c>
      <c r="B879">
        <v>2313008038</v>
      </c>
      <c r="C879" t="str">
        <f>T("간신이 나라를 살림 194화")</f>
        <v>간신이 나라를 살림 194화</v>
      </c>
      <c r="D879" t="str">
        <f>T("194")</f>
        <v>194</v>
      </c>
      <c r="E879" t="str">
        <f t="shared" si="192"/>
        <v>루이세</v>
      </c>
      <c r="H879" t="str">
        <f t="shared" si="188"/>
        <v>스토리위즈</v>
      </c>
      <c r="I879" t="str">
        <f t="shared" si="193"/>
        <v>간신이 나라를 살림</v>
      </c>
      <c r="J879">
        <v>100</v>
      </c>
      <c r="K879">
        <v>1000</v>
      </c>
      <c r="L879">
        <v>10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1000</v>
      </c>
      <c r="AH879">
        <v>10</v>
      </c>
      <c r="AI879">
        <v>0</v>
      </c>
      <c r="AJ879">
        <v>0</v>
      </c>
      <c r="AK879">
        <v>1000</v>
      </c>
      <c r="AL879">
        <v>0</v>
      </c>
      <c r="AM879">
        <v>0</v>
      </c>
      <c r="AN879">
        <v>0</v>
      </c>
      <c r="AO879">
        <v>0</v>
      </c>
      <c r="AP879">
        <v>700</v>
      </c>
      <c r="AT879" t="str">
        <f t="shared" si="194"/>
        <v>9791159284663</v>
      </c>
      <c r="AV879" t="str">
        <f t="shared" si="191"/>
        <v>판타지 웹소설 &gt; 퓨전 판타지</v>
      </c>
    </row>
    <row r="880" spans="1:48" x14ac:dyDescent="0.4">
      <c r="A880">
        <v>2313007845</v>
      </c>
      <c r="B880">
        <v>2313008039</v>
      </c>
      <c r="C880" t="str">
        <f>T("간신이 나라를 살림 195화")</f>
        <v>간신이 나라를 살림 195화</v>
      </c>
      <c r="D880" t="str">
        <f>T("195")</f>
        <v>195</v>
      </c>
      <c r="E880" t="str">
        <f t="shared" si="192"/>
        <v>루이세</v>
      </c>
      <c r="H880" t="str">
        <f t="shared" si="188"/>
        <v>스토리위즈</v>
      </c>
      <c r="I880" t="str">
        <f t="shared" si="193"/>
        <v>간신이 나라를 살림</v>
      </c>
      <c r="J880">
        <v>100</v>
      </c>
      <c r="K880">
        <v>1000</v>
      </c>
      <c r="L880">
        <v>10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1000</v>
      </c>
      <c r="AH880">
        <v>10</v>
      </c>
      <c r="AI880">
        <v>0</v>
      </c>
      <c r="AJ880">
        <v>0</v>
      </c>
      <c r="AK880">
        <v>1000</v>
      </c>
      <c r="AL880">
        <v>0</v>
      </c>
      <c r="AM880">
        <v>0</v>
      </c>
      <c r="AN880">
        <v>0</v>
      </c>
      <c r="AO880">
        <v>0</v>
      </c>
      <c r="AP880">
        <v>700</v>
      </c>
      <c r="AT880" t="str">
        <f t="shared" si="194"/>
        <v>9791159284663</v>
      </c>
      <c r="AV880" t="str">
        <f t="shared" si="191"/>
        <v>판타지 웹소설 &gt; 퓨전 판타지</v>
      </c>
    </row>
    <row r="881" spans="1:48" x14ac:dyDescent="0.4">
      <c r="A881">
        <v>2313007845</v>
      </c>
      <c r="B881">
        <v>2313008040</v>
      </c>
      <c r="C881" t="str">
        <f>T("간신이 나라를 살림 196화")</f>
        <v>간신이 나라를 살림 196화</v>
      </c>
      <c r="D881" t="str">
        <f>T("196")</f>
        <v>196</v>
      </c>
      <c r="E881" t="str">
        <f t="shared" si="192"/>
        <v>루이세</v>
      </c>
      <c r="H881" t="str">
        <f t="shared" si="188"/>
        <v>스토리위즈</v>
      </c>
      <c r="I881" t="str">
        <f t="shared" si="193"/>
        <v>간신이 나라를 살림</v>
      </c>
      <c r="J881">
        <v>100</v>
      </c>
      <c r="K881">
        <v>1000</v>
      </c>
      <c r="L881">
        <v>10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1000</v>
      </c>
      <c r="AH881">
        <v>10</v>
      </c>
      <c r="AI881">
        <v>0</v>
      </c>
      <c r="AJ881">
        <v>0</v>
      </c>
      <c r="AK881">
        <v>1000</v>
      </c>
      <c r="AL881">
        <v>0</v>
      </c>
      <c r="AM881">
        <v>0</v>
      </c>
      <c r="AN881">
        <v>0</v>
      </c>
      <c r="AO881">
        <v>0</v>
      </c>
      <c r="AP881">
        <v>700</v>
      </c>
      <c r="AT881" t="str">
        <f t="shared" si="194"/>
        <v>9791159284663</v>
      </c>
      <c r="AV881" t="str">
        <f t="shared" si="191"/>
        <v>판타지 웹소설 &gt; 퓨전 판타지</v>
      </c>
    </row>
    <row r="882" spans="1:48" x14ac:dyDescent="0.4">
      <c r="A882">
        <v>2313007845</v>
      </c>
      <c r="B882">
        <v>2313008048</v>
      </c>
      <c r="C882" t="str">
        <f>T("간신이 나라를 살림 204화")</f>
        <v>간신이 나라를 살림 204화</v>
      </c>
      <c r="D882" t="str">
        <f>T("204")</f>
        <v>204</v>
      </c>
      <c r="E882" t="str">
        <f t="shared" si="192"/>
        <v>루이세</v>
      </c>
      <c r="H882" t="str">
        <f t="shared" si="188"/>
        <v>스토리위즈</v>
      </c>
      <c r="I882" t="str">
        <f t="shared" si="193"/>
        <v>간신이 나라를 살림</v>
      </c>
      <c r="J882">
        <v>100</v>
      </c>
      <c r="K882">
        <v>1000</v>
      </c>
      <c r="L882">
        <v>10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1000</v>
      </c>
      <c r="AH882">
        <v>10</v>
      </c>
      <c r="AI882">
        <v>0</v>
      </c>
      <c r="AJ882">
        <v>0</v>
      </c>
      <c r="AK882">
        <v>1000</v>
      </c>
      <c r="AL882">
        <v>0</v>
      </c>
      <c r="AM882">
        <v>0</v>
      </c>
      <c r="AN882">
        <v>0</v>
      </c>
      <c r="AO882">
        <v>0</v>
      </c>
      <c r="AP882">
        <v>700</v>
      </c>
      <c r="AT882" t="str">
        <f t="shared" si="194"/>
        <v>9791159284663</v>
      </c>
      <c r="AV882" t="str">
        <f t="shared" si="191"/>
        <v>판타지 웹소설 &gt; 퓨전 판타지</v>
      </c>
    </row>
    <row r="883" spans="1:48" x14ac:dyDescent="0.4">
      <c r="A883">
        <v>2313007845</v>
      </c>
      <c r="B883">
        <v>2313008077</v>
      </c>
      <c r="C883" t="str">
        <f>T("간신이 나라를 살림 233화")</f>
        <v>간신이 나라를 살림 233화</v>
      </c>
      <c r="D883" t="str">
        <f>T("233")</f>
        <v>233</v>
      </c>
      <c r="E883" t="str">
        <f t="shared" si="192"/>
        <v>루이세</v>
      </c>
      <c r="H883" t="str">
        <f t="shared" si="188"/>
        <v>스토리위즈</v>
      </c>
      <c r="I883" t="str">
        <f t="shared" si="193"/>
        <v>간신이 나라를 살림</v>
      </c>
      <c r="J883">
        <v>100</v>
      </c>
      <c r="K883">
        <v>1000</v>
      </c>
      <c r="L883">
        <v>10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1000</v>
      </c>
      <c r="AH883">
        <v>10</v>
      </c>
      <c r="AI883">
        <v>0</v>
      </c>
      <c r="AJ883">
        <v>0</v>
      </c>
      <c r="AK883">
        <v>1000</v>
      </c>
      <c r="AL883">
        <v>0</v>
      </c>
      <c r="AM883">
        <v>0</v>
      </c>
      <c r="AN883">
        <v>0</v>
      </c>
      <c r="AO883">
        <v>0</v>
      </c>
      <c r="AP883">
        <v>700</v>
      </c>
      <c r="AT883" t="str">
        <f t="shared" si="194"/>
        <v>9791159284663</v>
      </c>
      <c r="AV883" t="str">
        <f t="shared" si="191"/>
        <v>판타지 웹소설 &gt; 퓨전 판타지</v>
      </c>
    </row>
    <row r="884" spans="1:48" x14ac:dyDescent="0.4">
      <c r="A884">
        <v>2313007845</v>
      </c>
      <c r="B884">
        <v>2313008078</v>
      </c>
      <c r="C884" t="str">
        <f>T("간신이 나라를 살림 234화")</f>
        <v>간신이 나라를 살림 234화</v>
      </c>
      <c r="D884" t="str">
        <f>T("234")</f>
        <v>234</v>
      </c>
      <c r="E884" t="str">
        <f t="shared" si="192"/>
        <v>루이세</v>
      </c>
      <c r="H884" t="str">
        <f t="shared" si="188"/>
        <v>스토리위즈</v>
      </c>
      <c r="I884" t="str">
        <f t="shared" si="193"/>
        <v>간신이 나라를 살림</v>
      </c>
      <c r="J884">
        <v>100</v>
      </c>
      <c r="K884">
        <v>1000</v>
      </c>
      <c r="L884">
        <v>10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1000</v>
      </c>
      <c r="AH884">
        <v>10</v>
      </c>
      <c r="AI884">
        <v>0</v>
      </c>
      <c r="AJ884">
        <v>0</v>
      </c>
      <c r="AK884">
        <v>1000</v>
      </c>
      <c r="AL884">
        <v>0</v>
      </c>
      <c r="AM884">
        <v>0</v>
      </c>
      <c r="AN884">
        <v>0</v>
      </c>
      <c r="AO884">
        <v>0</v>
      </c>
      <c r="AP884">
        <v>700</v>
      </c>
      <c r="AT884" t="str">
        <f t="shared" si="194"/>
        <v>9791159284663</v>
      </c>
      <c r="AV884" t="str">
        <f t="shared" si="191"/>
        <v>판타지 웹소설 &gt; 퓨전 판타지</v>
      </c>
    </row>
    <row r="885" spans="1:48" x14ac:dyDescent="0.4">
      <c r="A885">
        <v>2313007845</v>
      </c>
      <c r="B885">
        <v>2313008080</v>
      </c>
      <c r="C885" t="str">
        <f>T("간신이 나라를 살림 236화")</f>
        <v>간신이 나라를 살림 236화</v>
      </c>
      <c r="D885" t="str">
        <f>T("236")</f>
        <v>236</v>
      </c>
      <c r="E885" t="str">
        <f t="shared" si="192"/>
        <v>루이세</v>
      </c>
      <c r="H885" t="str">
        <f t="shared" si="188"/>
        <v>스토리위즈</v>
      </c>
      <c r="I885" t="str">
        <f t="shared" si="193"/>
        <v>간신이 나라를 살림</v>
      </c>
      <c r="J885">
        <v>100</v>
      </c>
      <c r="K885">
        <v>1000</v>
      </c>
      <c r="L885">
        <v>10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1000</v>
      </c>
      <c r="AH885">
        <v>10</v>
      </c>
      <c r="AI885">
        <v>0</v>
      </c>
      <c r="AJ885">
        <v>0</v>
      </c>
      <c r="AK885">
        <v>1000</v>
      </c>
      <c r="AL885">
        <v>0</v>
      </c>
      <c r="AM885">
        <v>0</v>
      </c>
      <c r="AN885">
        <v>0</v>
      </c>
      <c r="AO885">
        <v>0</v>
      </c>
      <c r="AP885">
        <v>700</v>
      </c>
      <c r="AT885" t="str">
        <f t="shared" si="194"/>
        <v>9791159284663</v>
      </c>
      <c r="AV885" t="str">
        <f t="shared" si="191"/>
        <v>판타지 웹소설 &gt; 퓨전 판타지</v>
      </c>
    </row>
    <row r="886" spans="1:48" x14ac:dyDescent="0.4">
      <c r="A886">
        <v>2313007845</v>
      </c>
      <c r="B886">
        <v>2313008082</v>
      </c>
      <c r="C886" t="str">
        <f>T("간신이 나라를 살림 238화")</f>
        <v>간신이 나라를 살림 238화</v>
      </c>
      <c r="D886" t="str">
        <f>T("238")</f>
        <v>238</v>
      </c>
      <c r="E886" t="str">
        <f t="shared" si="192"/>
        <v>루이세</v>
      </c>
      <c r="H886" t="str">
        <f t="shared" si="188"/>
        <v>스토리위즈</v>
      </c>
      <c r="I886" t="str">
        <f t="shared" si="193"/>
        <v>간신이 나라를 살림</v>
      </c>
      <c r="J886">
        <v>100</v>
      </c>
      <c r="K886">
        <v>1000</v>
      </c>
      <c r="L886">
        <v>10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1000</v>
      </c>
      <c r="AH886">
        <v>10</v>
      </c>
      <c r="AI886">
        <v>0</v>
      </c>
      <c r="AJ886">
        <v>0</v>
      </c>
      <c r="AK886">
        <v>1000</v>
      </c>
      <c r="AL886">
        <v>0</v>
      </c>
      <c r="AM886">
        <v>0</v>
      </c>
      <c r="AN886">
        <v>0</v>
      </c>
      <c r="AO886">
        <v>0</v>
      </c>
      <c r="AP886">
        <v>700</v>
      </c>
      <c r="AT886" t="str">
        <f t="shared" si="194"/>
        <v>9791159284663</v>
      </c>
      <c r="AV886" t="str">
        <f t="shared" si="191"/>
        <v>판타지 웹소설 &gt; 퓨전 판타지</v>
      </c>
    </row>
    <row r="887" spans="1:48" x14ac:dyDescent="0.4">
      <c r="A887">
        <v>2313007845</v>
      </c>
      <c r="B887">
        <v>2313008083</v>
      </c>
      <c r="C887" t="str">
        <f>T("간신이 나라를 살림 239화")</f>
        <v>간신이 나라를 살림 239화</v>
      </c>
      <c r="D887" t="str">
        <f>T("239")</f>
        <v>239</v>
      </c>
      <c r="E887" t="str">
        <f t="shared" si="192"/>
        <v>루이세</v>
      </c>
      <c r="H887" t="str">
        <f t="shared" si="188"/>
        <v>스토리위즈</v>
      </c>
      <c r="I887" t="str">
        <f t="shared" si="193"/>
        <v>간신이 나라를 살림</v>
      </c>
      <c r="J887">
        <v>100</v>
      </c>
      <c r="K887">
        <v>1000</v>
      </c>
      <c r="L887">
        <v>10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1000</v>
      </c>
      <c r="AH887">
        <v>10</v>
      </c>
      <c r="AI887">
        <v>0</v>
      </c>
      <c r="AJ887">
        <v>0</v>
      </c>
      <c r="AK887">
        <v>1000</v>
      </c>
      <c r="AL887">
        <v>0</v>
      </c>
      <c r="AM887">
        <v>0</v>
      </c>
      <c r="AN887">
        <v>0</v>
      </c>
      <c r="AO887">
        <v>0</v>
      </c>
      <c r="AP887">
        <v>700</v>
      </c>
      <c r="AT887" t="str">
        <f t="shared" si="194"/>
        <v>9791159284663</v>
      </c>
      <c r="AV887" t="str">
        <f t="shared" si="191"/>
        <v>판타지 웹소설 &gt; 퓨전 판타지</v>
      </c>
    </row>
    <row r="888" spans="1:48" x14ac:dyDescent="0.4">
      <c r="A888">
        <v>2313007845</v>
      </c>
      <c r="B888">
        <v>2313008084</v>
      </c>
      <c r="C888" t="str">
        <f>T("간신이 나라를 살림 240화")</f>
        <v>간신이 나라를 살림 240화</v>
      </c>
      <c r="D888" t="str">
        <f>T("240")</f>
        <v>240</v>
      </c>
      <c r="E888" t="str">
        <f t="shared" si="192"/>
        <v>루이세</v>
      </c>
      <c r="H888" t="str">
        <f t="shared" si="188"/>
        <v>스토리위즈</v>
      </c>
      <c r="I888" t="str">
        <f t="shared" si="193"/>
        <v>간신이 나라를 살림</v>
      </c>
      <c r="J888">
        <v>100</v>
      </c>
      <c r="K888">
        <v>1000</v>
      </c>
      <c r="L888">
        <v>10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1000</v>
      </c>
      <c r="AH888">
        <v>10</v>
      </c>
      <c r="AI888">
        <v>0</v>
      </c>
      <c r="AJ888">
        <v>0</v>
      </c>
      <c r="AK888">
        <v>1000</v>
      </c>
      <c r="AL888">
        <v>0</v>
      </c>
      <c r="AM888">
        <v>0</v>
      </c>
      <c r="AN888">
        <v>0</v>
      </c>
      <c r="AO888">
        <v>0</v>
      </c>
      <c r="AP888">
        <v>700</v>
      </c>
      <c r="AT888" t="str">
        <f t="shared" si="194"/>
        <v>9791159284663</v>
      </c>
      <c r="AV888" t="str">
        <f t="shared" si="191"/>
        <v>판타지 웹소설 &gt; 퓨전 판타지</v>
      </c>
    </row>
    <row r="889" spans="1:48" x14ac:dyDescent="0.4">
      <c r="A889">
        <v>2313007845</v>
      </c>
      <c r="B889">
        <v>2313008085</v>
      </c>
      <c r="C889" t="str">
        <f>T("간신이 나라를 살림 241화")</f>
        <v>간신이 나라를 살림 241화</v>
      </c>
      <c r="D889" t="str">
        <f>T("241")</f>
        <v>241</v>
      </c>
      <c r="E889" t="str">
        <f t="shared" si="192"/>
        <v>루이세</v>
      </c>
      <c r="H889" t="str">
        <f t="shared" si="188"/>
        <v>스토리위즈</v>
      </c>
      <c r="I889" t="str">
        <f t="shared" si="193"/>
        <v>간신이 나라를 살림</v>
      </c>
      <c r="J889">
        <v>100</v>
      </c>
      <c r="K889">
        <v>1000</v>
      </c>
      <c r="L889">
        <v>10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1000</v>
      </c>
      <c r="AH889">
        <v>10</v>
      </c>
      <c r="AI889">
        <v>0</v>
      </c>
      <c r="AJ889">
        <v>0</v>
      </c>
      <c r="AK889">
        <v>1000</v>
      </c>
      <c r="AL889">
        <v>0</v>
      </c>
      <c r="AM889">
        <v>0</v>
      </c>
      <c r="AN889">
        <v>0</v>
      </c>
      <c r="AO889">
        <v>0</v>
      </c>
      <c r="AP889">
        <v>700</v>
      </c>
      <c r="AT889" t="str">
        <f t="shared" si="194"/>
        <v>9791159284663</v>
      </c>
      <c r="AV889" t="str">
        <f t="shared" si="191"/>
        <v>판타지 웹소설 &gt; 퓨전 판타지</v>
      </c>
    </row>
    <row r="890" spans="1:48" x14ac:dyDescent="0.4">
      <c r="A890">
        <v>2313007845</v>
      </c>
      <c r="B890">
        <v>2313008086</v>
      </c>
      <c r="C890" t="str">
        <f>T("간신이 나라를 살림 242화")</f>
        <v>간신이 나라를 살림 242화</v>
      </c>
      <c r="D890" t="str">
        <f>T("242")</f>
        <v>242</v>
      </c>
      <c r="E890" t="str">
        <f t="shared" si="192"/>
        <v>루이세</v>
      </c>
      <c r="H890" t="str">
        <f t="shared" si="188"/>
        <v>스토리위즈</v>
      </c>
      <c r="I890" t="str">
        <f t="shared" si="193"/>
        <v>간신이 나라를 살림</v>
      </c>
      <c r="J890">
        <v>100</v>
      </c>
      <c r="K890">
        <v>1000</v>
      </c>
      <c r="L890">
        <v>10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1000</v>
      </c>
      <c r="AH890">
        <v>10</v>
      </c>
      <c r="AI890">
        <v>0</v>
      </c>
      <c r="AJ890">
        <v>0</v>
      </c>
      <c r="AK890">
        <v>1000</v>
      </c>
      <c r="AL890">
        <v>0</v>
      </c>
      <c r="AM890">
        <v>0</v>
      </c>
      <c r="AN890">
        <v>0</v>
      </c>
      <c r="AO890">
        <v>0</v>
      </c>
      <c r="AP890">
        <v>700</v>
      </c>
      <c r="AT890" t="str">
        <f t="shared" si="194"/>
        <v>9791159284663</v>
      </c>
      <c r="AV890" t="str">
        <f t="shared" si="191"/>
        <v>판타지 웹소설 &gt; 퓨전 판타지</v>
      </c>
    </row>
    <row r="891" spans="1:48" x14ac:dyDescent="0.4">
      <c r="A891">
        <v>2313007845</v>
      </c>
      <c r="B891">
        <v>2313008087</v>
      </c>
      <c r="C891" t="str">
        <f>T("간신이 나라를 살림 243화")</f>
        <v>간신이 나라를 살림 243화</v>
      </c>
      <c r="D891" t="str">
        <f>T("243")</f>
        <v>243</v>
      </c>
      <c r="E891" t="str">
        <f t="shared" si="192"/>
        <v>루이세</v>
      </c>
      <c r="H891" t="str">
        <f t="shared" si="188"/>
        <v>스토리위즈</v>
      </c>
      <c r="I891" t="str">
        <f t="shared" si="193"/>
        <v>간신이 나라를 살림</v>
      </c>
      <c r="J891">
        <v>100</v>
      </c>
      <c r="K891">
        <v>1000</v>
      </c>
      <c r="L891">
        <v>10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1000</v>
      </c>
      <c r="AH891">
        <v>10</v>
      </c>
      <c r="AI891">
        <v>0</v>
      </c>
      <c r="AJ891">
        <v>0</v>
      </c>
      <c r="AK891">
        <v>1000</v>
      </c>
      <c r="AL891">
        <v>0</v>
      </c>
      <c r="AM891">
        <v>0</v>
      </c>
      <c r="AN891">
        <v>0</v>
      </c>
      <c r="AO891">
        <v>0</v>
      </c>
      <c r="AP891">
        <v>700</v>
      </c>
      <c r="AT891" t="str">
        <f t="shared" si="194"/>
        <v>9791159284663</v>
      </c>
      <c r="AV891" t="str">
        <f t="shared" si="191"/>
        <v>판타지 웹소설 &gt; 퓨전 판타지</v>
      </c>
    </row>
    <row r="892" spans="1:48" x14ac:dyDescent="0.4">
      <c r="A892">
        <v>2313007845</v>
      </c>
      <c r="B892">
        <v>2313008088</v>
      </c>
      <c r="C892" t="str">
        <f>T("간신이 나라를 살림 244화")</f>
        <v>간신이 나라를 살림 244화</v>
      </c>
      <c r="D892" t="str">
        <f>T("244")</f>
        <v>244</v>
      </c>
      <c r="E892" t="str">
        <f t="shared" si="192"/>
        <v>루이세</v>
      </c>
      <c r="H892" t="str">
        <f t="shared" si="188"/>
        <v>스토리위즈</v>
      </c>
      <c r="I892" t="str">
        <f t="shared" si="193"/>
        <v>간신이 나라를 살림</v>
      </c>
      <c r="J892">
        <v>100</v>
      </c>
      <c r="K892">
        <v>1000</v>
      </c>
      <c r="L892">
        <v>10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1000</v>
      </c>
      <c r="AH892">
        <v>10</v>
      </c>
      <c r="AI892">
        <v>0</v>
      </c>
      <c r="AJ892">
        <v>0</v>
      </c>
      <c r="AK892">
        <v>1000</v>
      </c>
      <c r="AL892">
        <v>0</v>
      </c>
      <c r="AM892">
        <v>0</v>
      </c>
      <c r="AN892">
        <v>0</v>
      </c>
      <c r="AO892">
        <v>0</v>
      </c>
      <c r="AP892">
        <v>700</v>
      </c>
      <c r="AT892" t="str">
        <f t="shared" si="194"/>
        <v>9791159284663</v>
      </c>
      <c r="AV892" t="str">
        <f t="shared" si="191"/>
        <v>판타지 웹소설 &gt; 퓨전 판타지</v>
      </c>
    </row>
    <row r="893" spans="1:48" x14ac:dyDescent="0.4">
      <c r="A893">
        <v>2313007845</v>
      </c>
      <c r="B893">
        <v>2313008089</v>
      </c>
      <c r="C893" t="str">
        <f>T("간신이 나라를 살림 245화")</f>
        <v>간신이 나라를 살림 245화</v>
      </c>
      <c r="D893" t="str">
        <f>T("245")</f>
        <v>245</v>
      </c>
      <c r="E893" t="str">
        <f t="shared" si="192"/>
        <v>루이세</v>
      </c>
      <c r="H893" t="str">
        <f t="shared" si="188"/>
        <v>스토리위즈</v>
      </c>
      <c r="I893" t="str">
        <f t="shared" si="193"/>
        <v>간신이 나라를 살림</v>
      </c>
      <c r="J893">
        <v>100</v>
      </c>
      <c r="K893">
        <v>1000</v>
      </c>
      <c r="L893">
        <v>10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1000</v>
      </c>
      <c r="AH893">
        <v>10</v>
      </c>
      <c r="AI893">
        <v>0</v>
      </c>
      <c r="AJ893">
        <v>0</v>
      </c>
      <c r="AK893">
        <v>1000</v>
      </c>
      <c r="AL893">
        <v>0</v>
      </c>
      <c r="AM893">
        <v>0</v>
      </c>
      <c r="AN893">
        <v>0</v>
      </c>
      <c r="AO893">
        <v>0</v>
      </c>
      <c r="AP893">
        <v>700</v>
      </c>
      <c r="AT893" t="str">
        <f t="shared" si="194"/>
        <v>9791159284663</v>
      </c>
      <c r="AV893" t="str">
        <f t="shared" si="191"/>
        <v>판타지 웹소설 &gt; 퓨전 판타지</v>
      </c>
    </row>
    <row r="894" spans="1:48" x14ac:dyDescent="0.4">
      <c r="A894">
        <v>2313007845</v>
      </c>
      <c r="B894">
        <v>2313008090</v>
      </c>
      <c r="C894" t="str">
        <f>T("간신이 나라를 살림 246화")</f>
        <v>간신이 나라를 살림 246화</v>
      </c>
      <c r="D894" t="str">
        <f>T("246")</f>
        <v>246</v>
      </c>
      <c r="E894" t="str">
        <f t="shared" si="192"/>
        <v>루이세</v>
      </c>
      <c r="H894" t="str">
        <f t="shared" si="188"/>
        <v>스토리위즈</v>
      </c>
      <c r="I894" t="str">
        <f t="shared" si="193"/>
        <v>간신이 나라를 살림</v>
      </c>
      <c r="J894">
        <v>100</v>
      </c>
      <c r="K894">
        <v>1000</v>
      </c>
      <c r="L894">
        <v>10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1000</v>
      </c>
      <c r="AH894">
        <v>10</v>
      </c>
      <c r="AI894">
        <v>0</v>
      </c>
      <c r="AJ894">
        <v>0</v>
      </c>
      <c r="AK894">
        <v>1000</v>
      </c>
      <c r="AL894">
        <v>0</v>
      </c>
      <c r="AM894">
        <v>0</v>
      </c>
      <c r="AN894">
        <v>0</v>
      </c>
      <c r="AO894">
        <v>0</v>
      </c>
      <c r="AP894">
        <v>700</v>
      </c>
      <c r="AT894" t="str">
        <f t="shared" si="194"/>
        <v>9791159284663</v>
      </c>
      <c r="AV894" t="str">
        <f t="shared" si="191"/>
        <v>판타지 웹소설 &gt; 퓨전 판타지</v>
      </c>
    </row>
    <row r="895" spans="1:48" x14ac:dyDescent="0.4">
      <c r="A895">
        <v>2313007845</v>
      </c>
      <c r="B895">
        <v>2313008091</v>
      </c>
      <c r="C895" t="str">
        <f>T("간신이 나라를 살림 247화")</f>
        <v>간신이 나라를 살림 247화</v>
      </c>
      <c r="D895" t="str">
        <f>T("247")</f>
        <v>247</v>
      </c>
      <c r="E895" t="str">
        <f t="shared" si="192"/>
        <v>루이세</v>
      </c>
      <c r="H895" t="str">
        <f t="shared" si="188"/>
        <v>스토리위즈</v>
      </c>
      <c r="I895" t="str">
        <f t="shared" si="193"/>
        <v>간신이 나라를 살림</v>
      </c>
      <c r="J895">
        <v>100</v>
      </c>
      <c r="K895">
        <v>1000</v>
      </c>
      <c r="L895">
        <v>10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1000</v>
      </c>
      <c r="AH895">
        <v>10</v>
      </c>
      <c r="AI895">
        <v>0</v>
      </c>
      <c r="AJ895">
        <v>0</v>
      </c>
      <c r="AK895">
        <v>1000</v>
      </c>
      <c r="AL895">
        <v>0</v>
      </c>
      <c r="AM895">
        <v>0</v>
      </c>
      <c r="AN895">
        <v>0</v>
      </c>
      <c r="AO895">
        <v>0</v>
      </c>
      <c r="AP895">
        <v>700</v>
      </c>
      <c r="AT895" t="str">
        <f t="shared" si="194"/>
        <v>9791159284663</v>
      </c>
      <c r="AV895" t="str">
        <f t="shared" si="191"/>
        <v>판타지 웹소설 &gt; 퓨전 판타지</v>
      </c>
    </row>
    <row r="896" spans="1:48" x14ac:dyDescent="0.4">
      <c r="A896">
        <v>2313007845</v>
      </c>
      <c r="B896">
        <v>2313008092</v>
      </c>
      <c r="C896" t="str">
        <f>T("간신이 나라를 살림 248화")</f>
        <v>간신이 나라를 살림 248화</v>
      </c>
      <c r="D896" t="str">
        <f>T("248")</f>
        <v>248</v>
      </c>
      <c r="E896" t="str">
        <f t="shared" si="192"/>
        <v>루이세</v>
      </c>
      <c r="H896" t="str">
        <f t="shared" si="188"/>
        <v>스토리위즈</v>
      </c>
      <c r="I896" t="str">
        <f t="shared" si="193"/>
        <v>간신이 나라를 살림</v>
      </c>
      <c r="J896">
        <v>100</v>
      </c>
      <c r="K896">
        <v>1000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1000</v>
      </c>
      <c r="AH896">
        <v>10</v>
      </c>
      <c r="AI896">
        <v>0</v>
      </c>
      <c r="AJ896">
        <v>0</v>
      </c>
      <c r="AK896">
        <v>1000</v>
      </c>
      <c r="AL896">
        <v>0</v>
      </c>
      <c r="AM896">
        <v>0</v>
      </c>
      <c r="AN896">
        <v>0</v>
      </c>
      <c r="AO896">
        <v>0</v>
      </c>
      <c r="AP896">
        <v>700</v>
      </c>
      <c r="AT896" t="str">
        <f t="shared" si="194"/>
        <v>9791159284663</v>
      </c>
      <c r="AV896" t="str">
        <f t="shared" si="191"/>
        <v>판타지 웹소설 &gt; 퓨전 판타지</v>
      </c>
    </row>
    <row r="897" spans="1:48" x14ac:dyDescent="0.4">
      <c r="A897">
        <v>2313007845</v>
      </c>
      <c r="B897">
        <v>2313008093</v>
      </c>
      <c r="C897" t="str">
        <f>T("간신이 나라를 살림 249화")</f>
        <v>간신이 나라를 살림 249화</v>
      </c>
      <c r="D897" t="str">
        <f>T("249")</f>
        <v>249</v>
      </c>
      <c r="E897" t="str">
        <f t="shared" si="192"/>
        <v>루이세</v>
      </c>
      <c r="H897" t="str">
        <f t="shared" si="188"/>
        <v>스토리위즈</v>
      </c>
      <c r="I897" t="str">
        <f t="shared" si="193"/>
        <v>간신이 나라를 살림</v>
      </c>
      <c r="J897">
        <v>100</v>
      </c>
      <c r="K897">
        <v>1000</v>
      </c>
      <c r="L897">
        <v>10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1000</v>
      </c>
      <c r="AH897">
        <v>10</v>
      </c>
      <c r="AI897">
        <v>0</v>
      </c>
      <c r="AJ897">
        <v>0</v>
      </c>
      <c r="AK897">
        <v>1000</v>
      </c>
      <c r="AL897">
        <v>0</v>
      </c>
      <c r="AM897">
        <v>0</v>
      </c>
      <c r="AN897">
        <v>0</v>
      </c>
      <c r="AO897">
        <v>0</v>
      </c>
      <c r="AP897">
        <v>700</v>
      </c>
      <c r="AT897" t="str">
        <f t="shared" si="194"/>
        <v>9791159284663</v>
      </c>
      <c r="AV897" t="str">
        <f t="shared" si="191"/>
        <v>판타지 웹소설 &gt; 퓨전 판타지</v>
      </c>
    </row>
    <row r="898" spans="1:48" x14ac:dyDescent="0.4">
      <c r="A898">
        <v>2313011955</v>
      </c>
      <c r="B898">
        <v>2313012009</v>
      </c>
      <c r="C898" t="str">
        <f>T("갓 오브 블랙필드 55화")</f>
        <v>갓 오브 블랙필드 55화</v>
      </c>
      <c r="D898" t="str">
        <f>T("55")</f>
        <v>55</v>
      </c>
      <c r="E898" t="str">
        <f t="shared" ref="E898:E960" si="195">T("무장")</f>
        <v>무장</v>
      </c>
      <c r="H898" t="str">
        <f t="shared" si="188"/>
        <v>스토리위즈</v>
      </c>
      <c r="I898" t="str">
        <f t="shared" ref="I898:I960" si="196">T("갓 오브 블랙필드")</f>
        <v>갓 오브 블랙필드</v>
      </c>
      <c r="J898">
        <v>100</v>
      </c>
      <c r="K898">
        <v>1000</v>
      </c>
      <c r="L898">
        <v>10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1000</v>
      </c>
      <c r="AH898">
        <v>10</v>
      </c>
      <c r="AI898">
        <v>0</v>
      </c>
      <c r="AJ898">
        <v>0</v>
      </c>
      <c r="AK898">
        <v>1000</v>
      </c>
      <c r="AL898">
        <v>0</v>
      </c>
      <c r="AM898">
        <v>0</v>
      </c>
      <c r="AN898">
        <v>0</v>
      </c>
      <c r="AO898">
        <v>0</v>
      </c>
      <c r="AP898">
        <v>700</v>
      </c>
      <c r="AT898" t="str">
        <f t="shared" ref="AT898:AT960" si="197">T("9791137602113")</f>
        <v>9791137602113</v>
      </c>
      <c r="AV898" t="str">
        <f t="shared" ref="AV898:AV960" si="198">T("판타지 웹소설 &gt; 현대 판타지")</f>
        <v>판타지 웹소설 &gt; 현대 판타지</v>
      </c>
    </row>
    <row r="899" spans="1:48" x14ac:dyDescent="0.4">
      <c r="A899">
        <v>2313011955</v>
      </c>
      <c r="B899">
        <v>2313012010</v>
      </c>
      <c r="C899" t="str">
        <f>T("갓 오브 블랙필드 56화")</f>
        <v>갓 오브 블랙필드 56화</v>
      </c>
      <c r="D899" t="str">
        <f>T("56")</f>
        <v>56</v>
      </c>
      <c r="E899" t="str">
        <f t="shared" si="195"/>
        <v>무장</v>
      </c>
      <c r="H899" t="str">
        <f t="shared" si="188"/>
        <v>스토리위즈</v>
      </c>
      <c r="I899" t="str">
        <f t="shared" si="196"/>
        <v>갓 오브 블랙필드</v>
      </c>
      <c r="J899">
        <v>100</v>
      </c>
      <c r="K899">
        <v>1000</v>
      </c>
      <c r="L899">
        <v>10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1000</v>
      </c>
      <c r="AH899">
        <v>10</v>
      </c>
      <c r="AI899">
        <v>0</v>
      </c>
      <c r="AJ899">
        <v>0</v>
      </c>
      <c r="AK899">
        <v>1000</v>
      </c>
      <c r="AL899">
        <v>0</v>
      </c>
      <c r="AM899">
        <v>0</v>
      </c>
      <c r="AN899">
        <v>0</v>
      </c>
      <c r="AO899">
        <v>0</v>
      </c>
      <c r="AP899">
        <v>700</v>
      </c>
      <c r="AT899" t="str">
        <f t="shared" si="197"/>
        <v>9791137602113</v>
      </c>
      <c r="AV899" t="str">
        <f t="shared" si="198"/>
        <v>판타지 웹소설 &gt; 현대 판타지</v>
      </c>
    </row>
    <row r="900" spans="1:48" x14ac:dyDescent="0.4">
      <c r="A900">
        <v>2313011955</v>
      </c>
      <c r="B900">
        <v>2313012016</v>
      </c>
      <c r="C900" t="str">
        <f>T("갓 오브 블랙필드 62화")</f>
        <v>갓 오브 블랙필드 62화</v>
      </c>
      <c r="D900" t="str">
        <f>T("62")</f>
        <v>62</v>
      </c>
      <c r="E900" t="str">
        <f t="shared" si="195"/>
        <v>무장</v>
      </c>
      <c r="H900" t="str">
        <f t="shared" ref="H900:H930" si="199">T("스토리위즈")</f>
        <v>스토리위즈</v>
      </c>
      <c r="I900" t="str">
        <f t="shared" si="196"/>
        <v>갓 오브 블랙필드</v>
      </c>
      <c r="J900">
        <v>100</v>
      </c>
      <c r="K900">
        <v>1000</v>
      </c>
      <c r="L900">
        <v>10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1000</v>
      </c>
      <c r="AH900">
        <v>10</v>
      </c>
      <c r="AI900">
        <v>0</v>
      </c>
      <c r="AJ900">
        <v>0</v>
      </c>
      <c r="AK900">
        <v>1000</v>
      </c>
      <c r="AL900">
        <v>0</v>
      </c>
      <c r="AM900">
        <v>0</v>
      </c>
      <c r="AN900">
        <v>0</v>
      </c>
      <c r="AO900">
        <v>0</v>
      </c>
      <c r="AP900">
        <v>700</v>
      </c>
      <c r="AT900" t="str">
        <f t="shared" si="197"/>
        <v>9791137602113</v>
      </c>
      <c r="AV900" t="str">
        <f t="shared" si="198"/>
        <v>판타지 웹소설 &gt; 현대 판타지</v>
      </c>
    </row>
    <row r="901" spans="1:48" x14ac:dyDescent="0.4">
      <c r="A901">
        <v>2313011955</v>
      </c>
      <c r="B901">
        <v>2313012027</v>
      </c>
      <c r="C901" t="str">
        <f>T("갓 오브 블랙필드 73화")</f>
        <v>갓 오브 블랙필드 73화</v>
      </c>
      <c r="D901" t="str">
        <f>T("73")</f>
        <v>73</v>
      </c>
      <c r="E901" t="str">
        <f t="shared" si="195"/>
        <v>무장</v>
      </c>
      <c r="H901" t="str">
        <f t="shared" si="199"/>
        <v>스토리위즈</v>
      </c>
      <c r="I901" t="str">
        <f t="shared" si="196"/>
        <v>갓 오브 블랙필드</v>
      </c>
      <c r="J901">
        <v>100</v>
      </c>
      <c r="K901">
        <v>1000</v>
      </c>
      <c r="L901">
        <v>10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1000</v>
      </c>
      <c r="AH901">
        <v>10</v>
      </c>
      <c r="AI901">
        <v>0</v>
      </c>
      <c r="AJ901">
        <v>0</v>
      </c>
      <c r="AK901">
        <v>1000</v>
      </c>
      <c r="AL901">
        <v>0</v>
      </c>
      <c r="AM901">
        <v>0</v>
      </c>
      <c r="AN901">
        <v>0</v>
      </c>
      <c r="AO901">
        <v>0</v>
      </c>
      <c r="AP901">
        <v>700</v>
      </c>
      <c r="AT901" t="str">
        <f t="shared" si="197"/>
        <v>9791137602113</v>
      </c>
      <c r="AV901" t="str">
        <f t="shared" si="198"/>
        <v>판타지 웹소설 &gt; 현대 판타지</v>
      </c>
    </row>
    <row r="902" spans="1:48" x14ac:dyDescent="0.4">
      <c r="A902">
        <v>2313011955</v>
      </c>
      <c r="B902">
        <v>2313012029</v>
      </c>
      <c r="C902" t="str">
        <f>T("갓 오브 블랙필드 75화")</f>
        <v>갓 오브 블랙필드 75화</v>
      </c>
      <c r="D902" t="str">
        <f>T("75")</f>
        <v>75</v>
      </c>
      <c r="E902" t="str">
        <f t="shared" si="195"/>
        <v>무장</v>
      </c>
      <c r="H902" t="str">
        <f t="shared" si="199"/>
        <v>스토리위즈</v>
      </c>
      <c r="I902" t="str">
        <f t="shared" si="196"/>
        <v>갓 오브 블랙필드</v>
      </c>
      <c r="J902">
        <v>100</v>
      </c>
      <c r="K902">
        <v>1000</v>
      </c>
      <c r="L902">
        <v>10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1000</v>
      </c>
      <c r="AH902">
        <v>10</v>
      </c>
      <c r="AI902">
        <v>0</v>
      </c>
      <c r="AJ902">
        <v>0</v>
      </c>
      <c r="AK902">
        <v>1000</v>
      </c>
      <c r="AL902">
        <v>0</v>
      </c>
      <c r="AM902">
        <v>0</v>
      </c>
      <c r="AN902">
        <v>0</v>
      </c>
      <c r="AO902">
        <v>0</v>
      </c>
      <c r="AP902">
        <v>700</v>
      </c>
      <c r="AT902" t="str">
        <f t="shared" si="197"/>
        <v>9791137602113</v>
      </c>
      <c r="AV902" t="str">
        <f t="shared" si="198"/>
        <v>판타지 웹소설 &gt; 현대 판타지</v>
      </c>
    </row>
    <row r="903" spans="1:48" x14ac:dyDescent="0.4">
      <c r="A903">
        <v>2313011955</v>
      </c>
      <c r="B903">
        <v>2313012030</v>
      </c>
      <c r="C903" t="str">
        <f>T("갓 오브 블랙필드 76화")</f>
        <v>갓 오브 블랙필드 76화</v>
      </c>
      <c r="D903" t="str">
        <f>T("76")</f>
        <v>76</v>
      </c>
      <c r="E903" t="str">
        <f t="shared" si="195"/>
        <v>무장</v>
      </c>
      <c r="H903" t="str">
        <f t="shared" si="199"/>
        <v>스토리위즈</v>
      </c>
      <c r="I903" t="str">
        <f t="shared" si="196"/>
        <v>갓 오브 블랙필드</v>
      </c>
      <c r="J903">
        <v>100</v>
      </c>
      <c r="K903">
        <v>1000</v>
      </c>
      <c r="L903">
        <v>10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1000</v>
      </c>
      <c r="AH903">
        <v>10</v>
      </c>
      <c r="AI903">
        <v>0</v>
      </c>
      <c r="AJ903">
        <v>0</v>
      </c>
      <c r="AK903">
        <v>1000</v>
      </c>
      <c r="AL903">
        <v>0</v>
      </c>
      <c r="AM903">
        <v>0</v>
      </c>
      <c r="AN903">
        <v>0</v>
      </c>
      <c r="AO903">
        <v>0</v>
      </c>
      <c r="AP903">
        <v>700</v>
      </c>
      <c r="AT903" t="str">
        <f t="shared" si="197"/>
        <v>9791137602113</v>
      </c>
      <c r="AV903" t="str">
        <f t="shared" si="198"/>
        <v>판타지 웹소설 &gt; 현대 판타지</v>
      </c>
    </row>
    <row r="904" spans="1:48" x14ac:dyDescent="0.4">
      <c r="A904">
        <v>2313011955</v>
      </c>
      <c r="B904">
        <v>2313012031</v>
      </c>
      <c r="C904" t="str">
        <f>T("갓 오브 블랙필드 77화")</f>
        <v>갓 오브 블랙필드 77화</v>
      </c>
      <c r="D904" t="str">
        <f>T("77")</f>
        <v>77</v>
      </c>
      <c r="E904" t="str">
        <f t="shared" si="195"/>
        <v>무장</v>
      </c>
      <c r="H904" t="str">
        <f t="shared" si="199"/>
        <v>스토리위즈</v>
      </c>
      <c r="I904" t="str">
        <f t="shared" si="196"/>
        <v>갓 오브 블랙필드</v>
      </c>
      <c r="J904">
        <v>100</v>
      </c>
      <c r="K904">
        <v>1000</v>
      </c>
      <c r="L904">
        <v>10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1000</v>
      </c>
      <c r="AH904">
        <v>10</v>
      </c>
      <c r="AI904">
        <v>0</v>
      </c>
      <c r="AJ904">
        <v>0</v>
      </c>
      <c r="AK904">
        <v>1000</v>
      </c>
      <c r="AL904">
        <v>0</v>
      </c>
      <c r="AM904">
        <v>0</v>
      </c>
      <c r="AN904">
        <v>0</v>
      </c>
      <c r="AO904">
        <v>0</v>
      </c>
      <c r="AP904">
        <v>700</v>
      </c>
      <c r="AT904" t="str">
        <f t="shared" si="197"/>
        <v>9791137602113</v>
      </c>
      <c r="AV904" t="str">
        <f t="shared" si="198"/>
        <v>판타지 웹소설 &gt; 현대 판타지</v>
      </c>
    </row>
    <row r="905" spans="1:48" x14ac:dyDescent="0.4">
      <c r="A905">
        <v>2313011955</v>
      </c>
      <c r="B905">
        <v>2313012032</v>
      </c>
      <c r="C905" t="str">
        <f>T("갓 오브 블랙필드 78화")</f>
        <v>갓 오브 블랙필드 78화</v>
      </c>
      <c r="D905" t="str">
        <f>T("78")</f>
        <v>78</v>
      </c>
      <c r="E905" t="str">
        <f t="shared" si="195"/>
        <v>무장</v>
      </c>
      <c r="H905" t="str">
        <f t="shared" si="199"/>
        <v>스토리위즈</v>
      </c>
      <c r="I905" t="str">
        <f t="shared" si="196"/>
        <v>갓 오브 블랙필드</v>
      </c>
      <c r="J905">
        <v>100</v>
      </c>
      <c r="K905">
        <v>1000</v>
      </c>
      <c r="L905">
        <v>10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1000</v>
      </c>
      <c r="AH905">
        <v>10</v>
      </c>
      <c r="AI905">
        <v>0</v>
      </c>
      <c r="AJ905">
        <v>0</v>
      </c>
      <c r="AK905">
        <v>1000</v>
      </c>
      <c r="AL905">
        <v>0</v>
      </c>
      <c r="AM905">
        <v>0</v>
      </c>
      <c r="AN905">
        <v>0</v>
      </c>
      <c r="AO905">
        <v>0</v>
      </c>
      <c r="AP905">
        <v>700</v>
      </c>
      <c r="AT905" t="str">
        <f t="shared" si="197"/>
        <v>9791137602113</v>
      </c>
      <c r="AV905" t="str">
        <f t="shared" si="198"/>
        <v>판타지 웹소설 &gt; 현대 판타지</v>
      </c>
    </row>
    <row r="906" spans="1:48" x14ac:dyDescent="0.4">
      <c r="A906">
        <v>2313011955</v>
      </c>
      <c r="B906">
        <v>2313012033</v>
      </c>
      <c r="C906" t="str">
        <f>T("갓 오브 블랙필드 79화")</f>
        <v>갓 오브 블랙필드 79화</v>
      </c>
      <c r="D906" t="str">
        <f>T("79")</f>
        <v>79</v>
      </c>
      <c r="E906" t="str">
        <f t="shared" si="195"/>
        <v>무장</v>
      </c>
      <c r="H906" t="str">
        <f t="shared" si="199"/>
        <v>스토리위즈</v>
      </c>
      <c r="I906" t="str">
        <f t="shared" si="196"/>
        <v>갓 오브 블랙필드</v>
      </c>
      <c r="J906">
        <v>100</v>
      </c>
      <c r="K906">
        <v>1000</v>
      </c>
      <c r="L906">
        <v>10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1000</v>
      </c>
      <c r="AH906">
        <v>10</v>
      </c>
      <c r="AI906">
        <v>0</v>
      </c>
      <c r="AJ906">
        <v>0</v>
      </c>
      <c r="AK906">
        <v>1000</v>
      </c>
      <c r="AL906">
        <v>0</v>
      </c>
      <c r="AM906">
        <v>0</v>
      </c>
      <c r="AN906">
        <v>0</v>
      </c>
      <c r="AO906">
        <v>0</v>
      </c>
      <c r="AP906">
        <v>700</v>
      </c>
      <c r="AT906" t="str">
        <f t="shared" si="197"/>
        <v>9791137602113</v>
      </c>
      <c r="AV906" t="str">
        <f t="shared" si="198"/>
        <v>판타지 웹소설 &gt; 현대 판타지</v>
      </c>
    </row>
    <row r="907" spans="1:48" x14ac:dyDescent="0.4">
      <c r="A907">
        <v>2313011955</v>
      </c>
      <c r="B907">
        <v>2313012034</v>
      </c>
      <c r="C907" t="str">
        <f>T("갓 오브 블랙필드 80화")</f>
        <v>갓 오브 블랙필드 80화</v>
      </c>
      <c r="D907" t="str">
        <f>T("80")</f>
        <v>80</v>
      </c>
      <c r="E907" t="str">
        <f t="shared" si="195"/>
        <v>무장</v>
      </c>
      <c r="H907" t="str">
        <f t="shared" si="199"/>
        <v>스토리위즈</v>
      </c>
      <c r="I907" t="str">
        <f t="shared" si="196"/>
        <v>갓 오브 블랙필드</v>
      </c>
      <c r="J907">
        <v>100</v>
      </c>
      <c r="K907">
        <v>1000</v>
      </c>
      <c r="L907">
        <v>10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1000</v>
      </c>
      <c r="AH907">
        <v>10</v>
      </c>
      <c r="AI907">
        <v>0</v>
      </c>
      <c r="AJ907">
        <v>0</v>
      </c>
      <c r="AK907">
        <v>1000</v>
      </c>
      <c r="AL907">
        <v>0</v>
      </c>
      <c r="AM907">
        <v>0</v>
      </c>
      <c r="AN907">
        <v>0</v>
      </c>
      <c r="AO907">
        <v>0</v>
      </c>
      <c r="AP907">
        <v>700</v>
      </c>
      <c r="AT907" t="str">
        <f t="shared" si="197"/>
        <v>9791137602113</v>
      </c>
      <c r="AV907" t="str">
        <f t="shared" si="198"/>
        <v>판타지 웹소설 &gt; 현대 판타지</v>
      </c>
    </row>
    <row r="908" spans="1:48" x14ac:dyDescent="0.4">
      <c r="A908">
        <v>2313011955</v>
      </c>
      <c r="B908">
        <v>2313012035</v>
      </c>
      <c r="C908" t="str">
        <f>T("갓 오브 블랙필드 81화")</f>
        <v>갓 오브 블랙필드 81화</v>
      </c>
      <c r="D908" t="str">
        <f>T("81")</f>
        <v>81</v>
      </c>
      <c r="E908" t="str">
        <f t="shared" si="195"/>
        <v>무장</v>
      </c>
      <c r="H908" t="str">
        <f t="shared" si="199"/>
        <v>스토리위즈</v>
      </c>
      <c r="I908" t="str">
        <f t="shared" si="196"/>
        <v>갓 오브 블랙필드</v>
      </c>
      <c r="J908">
        <v>100</v>
      </c>
      <c r="K908">
        <v>1000</v>
      </c>
      <c r="L908">
        <v>10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1000</v>
      </c>
      <c r="AH908">
        <v>10</v>
      </c>
      <c r="AI908">
        <v>0</v>
      </c>
      <c r="AJ908">
        <v>0</v>
      </c>
      <c r="AK908">
        <v>1000</v>
      </c>
      <c r="AL908">
        <v>0</v>
      </c>
      <c r="AM908">
        <v>0</v>
      </c>
      <c r="AN908">
        <v>0</v>
      </c>
      <c r="AO908">
        <v>0</v>
      </c>
      <c r="AP908">
        <v>700</v>
      </c>
      <c r="AT908" t="str">
        <f t="shared" si="197"/>
        <v>9791137602113</v>
      </c>
      <c r="AV908" t="str">
        <f t="shared" si="198"/>
        <v>판타지 웹소설 &gt; 현대 판타지</v>
      </c>
    </row>
    <row r="909" spans="1:48" x14ac:dyDescent="0.4">
      <c r="A909">
        <v>2313011955</v>
      </c>
      <c r="B909">
        <v>2313012036</v>
      </c>
      <c r="C909" t="str">
        <f>T("갓 오브 블랙필드 82화")</f>
        <v>갓 오브 블랙필드 82화</v>
      </c>
      <c r="D909" t="str">
        <f>T("82")</f>
        <v>82</v>
      </c>
      <c r="E909" t="str">
        <f t="shared" si="195"/>
        <v>무장</v>
      </c>
      <c r="H909" t="str">
        <f t="shared" si="199"/>
        <v>스토리위즈</v>
      </c>
      <c r="I909" t="str">
        <f t="shared" si="196"/>
        <v>갓 오브 블랙필드</v>
      </c>
      <c r="J909">
        <v>100</v>
      </c>
      <c r="K909">
        <v>1000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1000</v>
      </c>
      <c r="AH909">
        <v>10</v>
      </c>
      <c r="AI909">
        <v>0</v>
      </c>
      <c r="AJ909">
        <v>0</v>
      </c>
      <c r="AK909">
        <v>1000</v>
      </c>
      <c r="AL909">
        <v>0</v>
      </c>
      <c r="AM909">
        <v>0</v>
      </c>
      <c r="AN909">
        <v>0</v>
      </c>
      <c r="AO909">
        <v>0</v>
      </c>
      <c r="AP909">
        <v>700</v>
      </c>
      <c r="AT909" t="str">
        <f t="shared" si="197"/>
        <v>9791137602113</v>
      </c>
      <c r="AV909" t="str">
        <f t="shared" si="198"/>
        <v>판타지 웹소설 &gt; 현대 판타지</v>
      </c>
    </row>
    <row r="910" spans="1:48" x14ac:dyDescent="0.4">
      <c r="A910">
        <v>2313011955</v>
      </c>
      <c r="B910">
        <v>2313012037</v>
      </c>
      <c r="C910" t="str">
        <f>T("갓 오브 블랙필드 83화")</f>
        <v>갓 오브 블랙필드 83화</v>
      </c>
      <c r="D910" t="str">
        <f>T("83")</f>
        <v>83</v>
      </c>
      <c r="E910" t="str">
        <f t="shared" si="195"/>
        <v>무장</v>
      </c>
      <c r="H910" t="str">
        <f t="shared" si="199"/>
        <v>스토리위즈</v>
      </c>
      <c r="I910" t="str">
        <f t="shared" si="196"/>
        <v>갓 오브 블랙필드</v>
      </c>
      <c r="J910">
        <v>100</v>
      </c>
      <c r="K910">
        <v>1000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1000</v>
      </c>
      <c r="AH910">
        <v>10</v>
      </c>
      <c r="AI910">
        <v>0</v>
      </c>
      <c r="AJ910">
        <v>0</v>
      </c>
      <c r="AK910">
        <v>1000</v>
      </c>
      <c r="AL910">
        <v>0</v>
      </c>
      <c r="AM910">
        <v>0</v>
      </c>
      <c r="AN910">
        <v>0</v>
      </c>
      <c r="AO910">
        <v>0</v>
      </c>
      <c r="AP910">
        <v>700</v>
      </c>
      <c r="AT910" t="str">
        <f t="shared" si="197"/>
        <v>9791137602113</v>
      </c>
      <c r="AV910" t="str">
        <f t="shared" si="198"/>
        <v>판타지 웹소설 &gt; 현대 판타지</v>
      </c>
    </row>
    <row r="911" spans="1:48" x14ac:dyDescent="0.4">
      <c r="A911">
        <v>2313011955</v>
      </c>
      <c r="B911">
        <v>2313012038</v>
      </c>
      <c r="C911" t="str">
        <f>T("갓 오브 블랙필드 84화")</f>
        <v>갓 오브 블랙필드 84화</v>
      </c>
      <c r="D911" t="str">
        <f>T("84")</f>
        <v>84</v>
      </c>
      <c r="E911" t="str">
        <f t="shared" si="195"/>
        <v>무장</v>
      </c>
      <c r="H911" t="str">
        <f t="shared" si="199"/>
        <v>스토리위즈</v>
      </c>
      <c r="I911" t="str">
        <f t="shared" si="196"/>
        <v>갓 오브 블랙필드</v>
      </c>
      <c r="J911">
        <v>100</v>
      </c>
      <c r="K911">
        <v>1000</v>
      </c>
      <c r="L911">
        <v>10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1000</v>
      </c>
      <c r="AH911">
        <v>10</v>
      </c>
      <c r="AI911">
        <v>0</v>
      </c>
      <c r="AJ911">
        <v>0</v>
      </c>
      <c r="AK911">
        <v>1000</v>
      </c>
      <c r="AL911">
        <v>0</v>
      </c>
      <c r="AM911">
        <v>0</v>
      </c>
      <c r="AN911">
        <v>0</v>
      </c>
      <c r="AO911">
        <v>0</v>
      </c>
      <c r="AP911">
        <v>700</v>
      </c>
      <c r="AT911" t="str">
        <f t="shared" si="197"/>
        <v>9791137602113</v>
      </c>
      <c r="AV911" t="str">
        <f t="shared" si="198"/>
        <v>판타지 웹소설 &gt; 현대 판타지</v>
      </c>
    </row>
    <row r="912" spans="1:48" x14ac:dyDescent="0.4">
      <c r="A912">
        <v>2313011955</v>
      </c>
      <c r="B912">
        <v>2313012039</v>
      </c>
      <c r="C912" t="str">
        <f>T("갓 오브 블랙필드 85화")</f>
        <v>갓 오브 블랙필드 85화</v>
      </c>
      <c r="D912" t="str">
        <f>T("85")</f>
        <v>85</v>
      </c>
      <c r="E912" t="str">
        <f t="shared" si="195"/>
        <v>무장</v>
      </c>
      <c r="H912" t="str">
        <f t="shared" si="199"/>
        <v>스토리위즈</v>
      </c>
      <c r="I912" t="str">
        <f t="shared" si="196"/>
        <v>갓 오브 블랙필드</v>
      </c>
      <c r="J912">
        <v>100</v>
      </c>
      <c r="K912">
        <v>1000</v>
      </c>
      <c r="L912">
        <v>10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1000</v>
      </c>
      <c r="AH912">
        <v>10</v>
      </c>
      <c r="AI912">
        <v>0</v>
      </c>
      <c r="AJ912">
        <v>0</v>
      </c>
      <c r="AK912">
        <v>1000</v>
      </c>
      <c r="AL912">
        <v>0</v>
      </c>
      <c r="AM912">
        <v>0</v>
      </c>
      <c r="AN912">
        <v>0</v>
      </c>
      <c r="AO912">
        <v>0</v>
      </c>
      <c r="AP912">
        <v>700</v>
      </c>
      <c r="AT912" t="str">
        <f t="shared" si="197"/>
        <v>9791137602113</v>
      </c>
      <c r="AV912" t="str">
        <f t="shared" si="198"/>
        <v>판타지 웹소설 &gt; 현대 판타지</v>
      </c>
    </row>
    <row r="913" spans="1:48" x14ac:dyDescent="0.4">
      <c r="A913">
        <v>2313011955</v>
      </c>
      <c r="B913">
        <v>2313012040</v>
      </c>
      <c r="C913" t="str">
        <f>T("갓 오브 블랙필드 86화")</f>
        <v>갓 오브 블랙필드 86화</v>
      </c>
      <c r="D913" t="str">
        <f>T("86")</f>
        <v>86</v>
      </c>
      <c r="E913" t="str">
        <f t="shared" si="195"/>
        <v>무장</v>
      </c>
      <c r="H913" t="str">
        <f t="shared" si="199"/>
        <v>스토리위즈</v>
      </c>
      <c r="I913" t="str">
        <f t="shared" si="196"/>
        <v>갓 오브 블랙필드</v>
      </c>
      <c r="J913">
        <v>100</v>
      </c>
      <c r="K913">
        <v>1000</v>
      </c>
      <c r="L913">
        <v>10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1000</v>
      </c>
      <c r="AH913">
        <v>10</v>
      </c>
      <c r="AI913">
        <v>0</v>
      </c>
      <c r="AJ913">
        <v>0</v>
      </c>
      <c r="AK913">
        <v>1000</v>
      </c>
      <c r="AL913">
        <v>0</v>
      </c>
      <c r="AM913">
        <v>0</v>
      </c>
      <c r="AN913">
        <v>0</v>
      </c>
      <c r="AO913">
        <v>0</v>
      </c>
      <c r="AP913">
        <v>700</v>
      </c>
      <c r="AT913" t="str">
        <f t="shared" si="197"/>
        <v>9791137602113</v>
      </c>
      <c r="AV913" t="str">
        <f t="shared" si="198"/>
        <v>판타지 웹소설 &gt; 현대 판타지</v>
      </c>
    </row>
    <row r="914" spans="1:48" x14ac:dyDescent="0.4">
      <c r="A914">
        <v>2313011955</v>
      </c>
      <c r="B914">
        <v>2313012042</v>
      </c>
      <c r="C914" t="str">
        <f>T("갓 오브 블랙필드 88화")</f>
        <v>갓 오브 블랙필드 88화</v>
      </c>
      <c r="D914" t="str">
        <f>T("88")</f>
        <v>88</v>
      </c>
      <c r="E914" t="str">
        <f t="shared" si="195"/>
        <v>무장</v>
      </c>
      <c r="H914" t="str">
        <f t="shared" si="199"/>
        <v>스토리위즈</v>
      </c>
      <c r="I914" t="str">
        <f t="shared" si="196"/>
        <v>갓 오브 블랙필드</v>
      </c>
      <c r="J914">
        <v>100</v>
      </c>
      <c r="K914">
        <v>1000</v>
      </c>
      <c r="L914">
        <v>10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1000</v>
      </c>
      <c r="AH914">
        <v>10</v>
      </c>
      <c r="AI914">
        <v>0</v>
      </c>
      <c r="AJ914">
        <v>0</v>
      </c>
      <c r="AK914">
        <v>1000</v>
      </c>
      <c r="AL914">
        <v>0</v>
      </c>
      <c r="AM914">
        <v>0</v>
      </c>
      <c r="AN914">
        <v>0</v>
      </c>
      <c r="AO914">
        <v>0</v>
      </c>
      <c r="AP914">
        <v>700</v>
      </c>
      <c r="AT914" t="str">
        <f t="shared" si="197"/>
        <v>9791137602113</v>
      </c>
      <c r="AV914" t="str">
        <f t="shared" si="198"/>
        <v>판타지 웹소설 &gt; 현대 판타지</v>
      </c>
    </row>
    <row r="915" spans="1:48" x14ac:dyDescent="0.4">
      <c r="A915">
        <v>2313011955</v>
      </c>
      <c r="B915">
        <v>2313012043</v>
      </c>
      <c r="C915" t="str">
        <f>T("갓 오브 블랙필드 89화")</f>
        <v>갓 오브 블랙필드 89화</v>
      </c>
      <c r="D915" t="str">
        <f>T("89")</f>
        <v>89</v>
      </c>
      <c r="E915" t="str">
        <f t="shared" si="195"/>
        <v>무장</v>
      </c>
      <c r="H915" t="str">
        <f t="shared" si="199"/>
        <v>스토리위즈</v>
      </c>
      <c r="I915" t="str">
        <f t="shared" si="196"/>
        <v>갓 오브 블랙필드</v>
      </c>
      <c r="J915">
        <v>100</v>
      </c>
      <c r="K915">
        <v>1000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1000</v>
      </c>
      <c r="AH915">
        <v>10</v>
      </c>
      <c r="AI915">
        <v>0</v>
      </c>
      <c r="AJ915">
        <v>0</v>
      </c>
      <c r="AK915">
        <v>1000</v>
      </c>
      <c r="AL915">
        <v>0</v>
      </c>
      <c r="AM915">
        <v>0</v>
      </c>
      <c r="AN915">
        <v>0</v>
      </c>
      <c r="AO915">
        <v>0</v>
      </c>
      <c r="AP915">
        <v>700</v>
      </c>
      <c r="AT915" t="str">
        <f t="shared" si="197"/>
        <v>9791137602113</v>
      </c>
      <c r="AV915" t="str">
        <f t="shared" si="198"/>
        <v>판타지 웹소설 &gt; 현대 판타지</v>
      </c>
    </row>
    <row r="916" spans="1:48" x14ac:dyDescent="0.4">
      <c r="A916">
        <v>2313011955</v>
      </c>
      <c r="B916">
        <v>2313012060</v>
      </c>
      <c r="C916" t="str">
        <f>T("갓 오브 블랙필드 106화")</f>
        <v>갓 오브 블랙필드 106화</v>
      </c>
      <c r="D916" t="str">
        <f>T("106")</f>
        <v>106</v>
      </c>
      <c r="E916" t="str">
        <f t="shared" si="195"/>
        <v>무장</v>
      </c>
      <c r="H916" t="str">
        <f t="shared" si="199"/>
        <v>스토리위즈</v>
      </c>
      <c r="I916" t="str">
        <f t="shared" si="196"/>
        <v>갓 오브 블랙필드</v>
      </c>
      <c r="J916">
        <v>100</v>
      </c>
      <c r="K916">
        <v>1000</v>
      </c>
      <c r="L916">
        <v>10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1000</v>
      </c>
      <c r="AH916">
        <v>10</v>
      </c>
      <c r="AI916">
        <v>0</v>
      </c>
      <c r="AJ916">
        <v>0</v>
      </c>
      <c r="AK916">
        <v>1000</v>
      </c>
      <c r="AL916">
        <v>0</v>
      </c>
      <c r="AM916">
        <v>0</v>
      </c>
      <c r="AN916">
        <v>0</v>
      </c>
      <c r="AO916">
        <v>0</v>
      </c>
      <c r="AP916">
        <v>700</v>
      </c>
      <c r="AT916" t="str">
        <f t="shared" si="197"/>
        <v>9791137602113</v>
      </c>
      <c r="AV916" t="str">
        <f t="shared" si="198"/>
        <v>판타지 웹소설 &gt; 현대 판타지</v>
      </c>
    </row>
    <row r="917" spans="1:48" x14ac:dyDescent="0.4">
      <c r="A917">
        <v>2313011955</v>
      </c>
      <c r="B917">
        <v>2313012062</v>
      </c>
      <c r="C917" t="str">
        <f>T("갓 오브 블랙필드 108화")</f>
        <v>갓 오브 블랙필드 108화</v>
      </c>
      <c r="D917" t="str">
        <f>T("108")</f>
        <v>108</v>
      </c>
      <c r="E917" t="str">
        <f t="shared" si="195"/>
        <v>무장</v>
      </c>
      <c r="H917" t="str">
        <f t="shared" si="199"/>
        <v>스토리위즈</v>
      </c>
      <c r="I917" t="str">
        <f t="shared" si="196"/>
        <v>갓 오브 블랙필드</v>
      </c>
      <c r="J917">
        <v>100</v>
      </c>
      <c r="K917">
        <v>1000</v>
      </c>
      <c r="L917">
        <v>10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1000</v>
      </c>
      <c r="AH917">
        <v>10</v>
      </c>
      <c r="AI917">
        <v>0</v>
      </c>
      <c r="AJ917">
        <v>0</v>
      </c>
      <c r="AK917">
        <v>1000</v>
      </c>
      <c r="AL917">
        <v>0</v>
      </c>
      <c r="AM917">
        <v>0</v>
      </c>
      <c r="AN917">
        <v>0</v>
      </c>
      <c r="AO917">
        <v>0</v>
      </c>
      <c r="AP917">
        <v>700</v>
      </c>
      <c r="AT917" t="str">
        <f t="shared" si="197"/>
        <v>9791137602113</v>
      </c>
      <c r="AV917" t="str">
        <f t="shared" si="198"/>
        <v>판타지 웹소설 &gt; 현대 판타지</v>
      </c>
    </row>
    <row r="918" spans="1:48" x14ac:dyDescent="0.4">
      <c r="A918">
        <v>2313011955</v>
      </c>
      <c r="B918">
        <v>2313012063</v>
      </c>
      <c r="C918" t="str">
        <f>T("갓 오브 블랙필드 109화")</f>
        <v>갓 오브 블랙필드 109화</v>
      </c>
      <c r="D918" t="str">
        <f>T("109")</f>
        <v>109</v>
      </c>
      <c r="E918" t="str">
        <f t="shared" si="195"/>
        <v>무장</v>
      </c>
      <c r="H918" t="str">
        <f t="shared" si="199"/>
        <v>스토리위즈</v>
      </c>
      <c r="I918" t="str">
        <f t="shared" si="196"/>
        <v>갓 오브 블랙필드</v>
      </c>
      <c r="J918">
        <v>100</v>
      </c>
      <c r="K918">
        <v>1000</v>
      </c>
      <c r="L918">
        <v>10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1000</v>
      </c>
      <c r="AH918">
        <v>10</v>
      </c>
      <c r="AI918">
        <v>0</v>
      </c>
      <c r="AJ918">
        <v>0</v>
      </c>
      <c r="AK918">
        <v>1000</v>
      </c>
      <c r="AL918">
        <v>0</v>
      </c>
      <c r="AM918">
        <v>0</v>
      </c>
      <c r="AN918">
        <v>0</v>
      </c>
      <c r="AO918">
        <v>0</v>
      </c>
      <c r="AP918">
        <v>700</v>
      </c>
      <c r="AT918" t="str">
        <f t="shared" si="197"/>
        <v>9791137602113</v>
      </c>
      <c r="AV918" t="str">
        <f t="shared" si="198"/>
        <v>판타지 웹소설 &gt; 현대 판타지</v>
      </c>
    </row>
    <row r="919" spans="1:48" x14ac:dyDescent="0.4">
      <c r="A919">
        <v>2313011955</v>
      </c>
      <c r="B919">
        <v>2313012064</v>
      </c>
      <c r="C919" t="str">
        <f>T("갓 오브 블랙필드 110화")</f>
        <v>갓 오브 블랙필드 110화</v>
      </c>
      <c r="D919" t="str">
        <f>T("110")</f>
        <v>110</v>
      </c>
      <c r="E919" t="str">
        <f t="shared" si="195"/>
        <v>무장</v>
      </c>
      <c r="H919" t="str">
        <f t="shared" si="199"/>
        <v>스토리위즈</v>
      </c>
      <c r="I919" t="str">
        <f t="shared" si="196"/>
        <v>갓 오브 블랙필드</v>
      </c>
      <c r="J919">
        <v>100</v>
      </c>
      <c r="K919">
        <v>1000</v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1000</v>
      </c>
      <c r="AH919">
        <v>10</v>
      </c>
      <c r="AI919">
        <v>0</v>
      </c>
      <c r="AJ919">
        <v>0</v>
      </c>
      <c r="AK919">
        <v>1000</v>
      </c>
      <c r="AL919">
        <v>0</v>
      </c>
      <c r="AM919">
        <v>0</v>
      </c>
      <c r="AN919">
        <v>0</v>
      </c>
      <c r="AO919">
        <v>0</v>
      </c>
      <c r="AP919">
        <v>700</v>
      </c>
      <c r="AT919" t="str">
        <f t="shared" si="197"/>
        <v>9791137602113</v>
      </c>
      <c r="AV919" t="str">
        <f t="shared" si="198"/>
        <v>판타지 웹소설 &gt; 현대 판타지</v>
      </c>
    </row>
    <row r="920" spans="1:48" x14ac:dyDescent="0.4">
      <c r="A920">
        <v>2313011955</v>
      </c>
      <c r="B920">
        <v>2313012065</v>
      </c>
      <c r="C920" t="str">
        <f>T("갓 오브 블랙필드 111화")</f>
        <v>갓 오브 블랙필드 111화</v>
      </c>
      <c r="D920" t="str">
        <f>T("111")</f>
        <v>111</v>
      </c>
      <c r="E920" t="str">
        <f t="shared" si="195"/>
        <v>무장</v>
      </c>
      <c r="H920" t="str">
        <f t="shared" si="199"/>
        <v>스토리위즈</v>
      </c>
      <c r="I920" t="str">
        <f t="shared" si="196"/>
        <v>갓 오브 블랙필드</v>
      </c>
      <c r="J920">
        <v>100</v>
      </c>
      <c r="K920">
        <v>1000</v>
      </c>
      <c r="L920">
        <v>10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1000</v>
      </c>
      <c r="AH920">
        <v>10</v>
      </c>
      <c r="AI920">
        <v>0</v>
      </c>
      <c r="AJ920">
        <v>0</v>
      </c>
      <c r="AK920">
        <v>1000</v>
      </c>
      <c r="AL920">
        <v>0</v>
      </c>
      <c r="AM920">
        <v>0</v>
      </c>
      <c r="AN920">
        <v>0</v>
      </c>
      <c r="AO920">
        <v>0</v>
      </c>
      <c r="AP920">
        <v>700</v>
      </c>
      <c r="AT920" t="str">
        <f t="shared" si="197"/>
        <v>9791137602113</v>
      </c>
      <c r="AV920" t="str">
        <f t="shared" si="198"/>
        <v>판타지 웹소설 &gt; 현대 판타지</v>
      </c>
    </row>
    <row r="921" spans="1:48" x14ac:dyDescent="0.4">
      <c r="A921">
        <v>2313011955</v>
      </c>
      <c r="B921">
        <v>2313012066</v>
      </c>
      <c r="C921" t="str">
        <f>T("갓 오브 블랙필드 112화")</f>
        <v>갓 오브 블랙필드 112화</v>
      </c>
      <c r="D921" t="str">
        <f>T("112")</f>
        <v>112</v>
      </c>
      <c r="E921" t="str">
        <f t="shared" si="195"/>
        <v>무장</v>
      </c>
      <c r="H921" t="str">
        <f t="shared" si="199"/>
        <v>스토리위즈</v>
      </c>
      <c r="I921" t="str">
        <f t="shared" si="196"/>
        <v>갓 오브 블랙필드</v>
      </c>
      <c r="J921">
        <v>100</v>
      </c>
      <c r="K921">
        <v>1000</v>
      </c>
      <c r="L921">
        <v>10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1000</v>
      </c>
      <c r="AH921">
        <v>10</v>
      </c>
      <c r="AI921">
        <v>0</v>
      </c>
      <c r="AJ921">
        <v>0</v>
      </c>
      <c r="AK921">
        <v>1000</v>
      </c>
      <c r="AL921">
        <v>0</v>
      </c>
      <c r="AM921">
        <v>0</v>
      </c>
      <c r="AN921">
        <v>0</v>
      </c>
      <c r="AO921">
        <v>0</v>
      </c>
      <c r="AP921">
        <v>700</v>
      </c>
      <c r="AT921" t="str">
        <f t="shared" si="197"/>
        <v>9791137602113</v>
      </c>
      <c r="AV921" t="str">
        <f t="shared" si="198"/>
        <v>판타지 웹소설 &gt; 현대 판타지</v>
      </c>
    </row>
    <row r="922" spans="1:48" x14ac:dyDescent="0.4">
      <c r="A922">
        <v>2313011955</v>
      </c>
      <c r="B922">
        <v>2313012067</v>
      </c>
      <c r="C922" t="str">
        <f>T("갓 오브 블랙필드 113화")</f>
        <v>갓 오브 블랙필드 113화</v>
      </c>
      <c r="D922" t="str">
        <f>T("113")</f>
        <v>113</v>
      </c>
      <c r="E922" t="str">
        <f t="shared" si="195"/>
        <v>무장</v>
      </c>
      <c r="H922" t="str">
        <f t="shared" si="199"/>
        <v>스토리위즈</v>
      </c>
      <c r="I922" t="str">
        <f t="shared" si="196"/>
        <v>갓 오브 블랙필드</v>
      </c>
      <c r="J922">
        <v>100</v>
      </c>
      <c r="K922">
        <v>1000</v>
      </c>
      <c r="L922">
        <v>10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1000</v>
      </c>
      <c r="AH922">
        <v>10</v>
      </c>
      <c r="AI922">
        <v>0</v>
      </c>
      <c r="AJ922">
        <v>0</v>
      </c>
      <c r="AK922">
        <v>1000</v>
      </c>
      <c r="AL922">
        <v>0</v>
      </c>
      <c r="AM922">
        <v>0</v>
      </c>
      <c r="AN922">
        <v>0</v>
      </c>
      <c r="AO922">
        <v>0</v>
      </c>
      <c r="AP922">
        <v>700</v>
      </c>
      <c r="AT922" t="str">
        <f t="shared" si="197"/>
        <v>9791137602113</v>
      </c>
      <c r="AV922" t="str">
        <f t="shared" si="198"/>
        <v>판타지 웹소설 &gt; 현대 판타지</v>
      </c>
    </row>
    <row r="923" spans="1:48" x14ac:dyDescent="0.4">
      <c r="A923">
        <v>2313011955</v>
      </c>
      <c r="B923">
        <v>2313012068</v>
      </c>
      <c r="C923" t="str">
        <f>T("갓 오브 블랙필드 114화")</f>
        <v>갓 오브 블랙필드 114화</v>
      </c>
      <c r="D923" t="str">
        <f>T("114")</f>
        <v>114</v>
      </c>
      <c r="E923" t="str">
        <f t="shared" si="195"/>
        <v>무장</v>
      </c>
      <c r="H923" t="str">
        <f t="shared" si="199"/>
        <v>스토리위즈</v>
      </c>
      <c r="I923" t="str">
        <f t="shared" si="196"/>
        <v>갓 오브 블랙필드</v>
      </c>
      <c r="J923">
        <v>100</v>
      </c>
      <c r="K923">
        <v>1000</v>
      </c>
      <c r="L923">
        <v>10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1000</v>
      </c>
      <c r="AH923">
        <v>10</v>
      </c>
      <c r="AI923">
        <v>0</v>
      </c>
      <c r="AJ923">
        <v>0</v>
      </c>
      <c r="AK923">
        <v>1000</v>
      </c>
      <c r="AL923">
        <v>0</v>
      </c>
      <c r="AM923">
        <v>0</v>
      </c>
      <c r="AN923">
        <v>0</v>
      </c>
      <c r="AO923">
        <v>0</v>
      </c>
      <c r="AP923">
        <v>700</v>
      </c>
      <c r="AT923" t="str">
        <f t="shared" si="197"/>
        <v>9791137602113</v>
      </c>
      <c r="AV923" t="str">
        <f t="shared" si="198"/>
        <v>판타지 웹소설 &gt; 현대 판타지</v>
      </c>
    </row>
    <row r="924" spans="1:48" x14ac:dyDescent="0.4">
      <c r="A924">
        <v>2313011955</v>
      </c>
      <c r="B924">
        <v>2313012069</v>
      </c>
      <c r="C924" t="str">
        <f>T("갓 오브 블랙필드 115화")</f>
        <v>갓 오브 블랙필드 115화</v>
      </c>
      <c r="D924" t="str">
        <f>T("115")</f>
        <v>115</v>
      </c>
      <c r="E924" t="str">
        <f t="shared" si="195"/>
        <v>무장</v>
      </c>
      <c r="H924" t="str">
        <f t="shared" si="199"/>
        <v>스토리위즈</v>
      </c>
      <c r="I924" t="str">
        <f t="shared" si="196"/>
        <v>갓 오브 블랙필드</v>
      </c>
      <c r="J924">
        <v>100</v>
      </c>
      <c r="K924">
        <v>1000</v>
      </c>
      <c r="L924">
        <v>10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1000</v>
      </c>
      <c r="AH924">
        <v>10</v>
      </c>
      <c r="AI924">
        <v>0</v>
      </c>
      <c r="AJ924">
        <v>0</v>
      </c>
      <c r="AK924">
        <v>1000</v>
      </c>
      <c r="AL924">
        <v>0</v>
      </c>
      <c r="AM924">
        <v>0</v>
      </c>
      <c r="AN924">
        <v>0</v>
      </c>
      <c r="AO924">
        <v>0</v>
      </c>
      <c r="AP924">
        <v>700</v>
      </c>
      <c r="AT924" t="str">
        <f t="shared" si="197"/>
        <v>9791137602113</v>
      </c>
      <c r="AV924" t="str">
        <f t="shared" si="198"/>
        <v>판타지 웹소설 &gt; 현대 판타지</v>
      </c>
    </row>
    <row r="925" spans="1:48" x14ac:dyDescent="0.4">
      <c r="A925">
        <v>2313011955</v>
      </c>
      <c r="B925">
        <v>2313012070</v>
      </c>
      <c r="C925" t="str">
        <f>T("갓 오브 블랙필드 116화")</f>
        <v>갓 오브 블랙필드 116화</v>
      </c>
      <c r="D925" t="str">
        <f>T("116")</f>
        <v>116</v>
      </c>
      <c r="E925" t="str">
        <f t="shared" si="195"/>
        <v>무장</v>
      </c>
      <c r="H925" t="str">
        <f t="shared" si="199"/>
        <v>스토리위즈</v>
      </c>
      <c r="I925" t="str">
        <f t="shared" si="196"/>
        <v>갓 오브 블랙필드</v>
      </c>
      <c r="J925">
        <v>100</v>
      </c>
      <c r="K925">
        <v>1000</v>
      </c>
      <c r="L925">
        <v>10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1000</v>
      </c>
      <c r="AH925">
        <v>10</v>
      </c>
      <c r="AI925">
        <v>0</v>
      </c>
      <c r="AJ925">
        <v>0</v>
      </c>
      <c r="AK925">
        <v>1000</v>
      </c>
      <c r="AL925">
        <v>0</v>
      </c>
      <c r="AM925">
        <v>0</v>
      </c>
      <c r="AN925">
        <v>0</v>
      </c>
      <c r="AO925">
        <v>0</v>
      </c>
      <c r="AP925">
        <v>700</v>
      </c>
      <c r="AT925" t="str">
        <f t="shared" si="197"/>
        <v>9791137602113</v>
      </c>
      <c r="AV925" t="str">
        <f t="shared" si="198"/>
        <v>판타지 웹소설 &gt; 현대 판타지</v>
      </c>
    </row>
    <row r="926" spans="1:48" x14ac:dyDescent="0.4">
      <c r="A926">
        <v>2313011955</v>
      </c>
      <c r="B926">
        <v>2313012071</v>
      </c>
      <c r="C926" t="str">
        <f>T("갓 오브 블랙필드 117화")</f>
        <v>갓 오브 블랙필드 117화</v>
      </c>
      <c r="D926" t="str">
        <f>T("117")</f>
        <v>117</v>
      </c>
      <c r="E926" t="str">
        <f t="shared" si="195"/>
        <v>무장</v>
      </c>
      <c r="H926" t="str">
        <f t="shared" si="199"/>
        <v>스토리위즈</v>
      </c>
      <c r="I926" t="str">
        <f t="shared" si="196"/>
        <v>갓 오브 블랙필드</v>
      </c>
      <c r="J926">
        <v>100</v>
      </c>
      <c r="K926">
        <v>1000</v>
      </c>
      <c r="L926">
        <v>10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1000</v>
      </c>
      <c r="AH926">
        <v>10</v>
      </c>
      <c r="AI926">
        <v>0</v>
      </c>
      <c r="AJ926">
        <v>0</v>
      </c>
      <c r="AK926">
        <v>1000</v>
      </c>
      <c r="AL926">
        <v>0</v>
      </c>
      <c r="AM926">
        <v>0</v>
      </c>
      <c r="AN926">
        <v>0</v>
      </c>
      <c r="AO926">
        <v>0</v>
      </c>
      <c r="AP926">
        <v>700</v>
      </c>
      <c r="AT926" t="str">
        <f t="shared" si="197"/>
        <v>9791137602113</v>
      </c>
      <c r="AV926" t="str">
        <f t="shared" si="198"/>
        <v>판타지 웹소설 &gt; 현대 판타지</v>
      </c>
    </row>
    <row r="927" spans="1:48" x14ac:dyDescent="0.4">
      <c r="A927">
        <v>2313011955</v>
      </c>
      <c r="B927">
        <v>2313012072</v>
      </c>
      <c r="C927" t="str">
        <f>T("갓 오브 블랙필드 118화")</f>
        <v>갓 오브 블랙필드 118화</v>
      </c>
      <c r="D927" t="str">
        <f>T("118")</f>
        <v>118</v>
      </c>
      <c r="E927" t="str">
        <f t="shared" si="195"/>
        <v>무장</v>
      </c>
      <c r="H927" t="str">
        <f t="shared" si="199"/>
        <v>스토리위즈</v>
      </c>
      <c r="I927" t="str">
        <f t="shared" si="196"/>
        <v>갓 오브 블랙필드</v>
      </c>
      <c r="J927">
        <v>100</v>
      </c>
      <c r="K927">
        <v>1000</v>
      </c>
      <c r="L927">
        <v>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1000</v>
      </c>
      <c r="AH927">
        <v>10</v>
      </c>
      <c r="AI927">
        <v>0</v>
      </c>
      <c r="AJ927">
        <v>0</v>
      </c>
      <c r="AK927">
        <v>1000</v>
      </c>
      <c r="AL927">
        <v>0</v>
      </c>
      <c r="AM927">
        <v>0</v>
      </c>
      <c r="AN927">
        <v>0</v>
      </c>
      <c r="AO927">
        <v>0</v>
      </c>
      <c r="AP927">
        <v>700</v>
      </c>
      <c r="AT927" t="str">
        <f t="shared" si="197"/>
        <v>9791137602113</v>
      </c>
      <c r="AV927" t="str">
        <f t="shared" si="198"/>
        <v>판타지 웹소설 &gt; 현대 판타지</v>
      </c>
    </row>
    <row r="928" spans="1:48" x14ac:dyDescent="0.4">
      <c r="A928">
        <v>2313011955</v>
      </c>
      <c r="B928">
        <v>2313012073</v>
      </c>
      <c r="C928" t="str">
        <f>T("갓 오브 블랙필드 119화")</f>
        <v>갓 오브 블랙필드 119화</v>
      </c>
      <c r="D928" t="str">
        <f>T("119")</f>
        <v>119</v>
      </c>
      <c r="E928" t="str">
        <f t="shared" si="195"/>
        <v>무장</v>
      </c>
      <c r="H928" t="str">
        <f t="shared" si="199"/>
        <v>스토리위즈</v>
      </c>
      <c r="I928" t="str">
        <f t="shared" si="196"/>
        <v>갓 오브 블랙필드</v>
      </c>
      <c r="J928">
        <v>100</v>
      </c>
      <c r="K928">
        <v>1000</v>
      </c>
      <c r="L928">
        <v>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1000</v>
      </c>
      <c r="AH928">
        <v>10</v>
      </c>
      <c r="AI928">
        <v>0</v>
      </c>
      <c r="AJ928">
        <v>0</v>
      </c>
      <c r="AK928">
        <v>1000</v>
      </c>
      <c r="AL928">
        <v>0</v>
      </c>
      <c r="AM928">
        <v>0</v>
      </c>
      <c r="AN928">
        <v>0</v>
      </c>
      <c r="AO928">
        <v>0</v>
      </c>
      <c r="AP928">
        <v>700</v>
      </c>
      <c r="AT928" t="str">
        <f t="shared" si="197"/>
        <v>9791137602113</v>
      </c>
      <c r="AV928" t="str">
        <f t="shared" si="198"/>
        <v>판타지 웹소설 &gt; 현대 판타지</v>
      </c>
    </row>
    <row r="929" spans="1:48" x14ac:dyDescent="0.4">
      <c r="A929">
        <v>2313011955</v>
      </c>
      <c r="B929">
        <v>2313012074</v>
      </c>
      <c r="C929" t="str">
        <f>T("갓 오브 블랙필드 120화")</f>
        <v>갓 오브 블랙필드 120화</v>
      </c>
      <c r="D929" t="str">
        <f>T("120")</f>
        <v>120</v>
      </c>
      <c r="E929" t="str">
        <f t="shared" si="195"/>
        <v>무장</v>
      </c>
      <c r="H929" t="str">
        <f t="shared" si="199"/>
        <v>스토리위즈</v>
      </c>
      <c r="I929" t="str">
        <f t="shared" si="196"/>
        <v>갓 오브 블랙필드</v>
      </c>
      <c r="J929">
        <v>100</v>
      </c>
      <c r="K929">
        <v>1000</v>
      </c>
      <c r="L929">
        <v>10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1000</v>
      </c>
      <c r="AH929">
        <v>10</v>
      </c>
      <c r="AI929">
        <v>0</v>
      </c>
      <c r="AJ929">
        <v>0</v>
      </c>
      <c r="AK929">
        <v>1000</v>
      </c>
      <c r="AL929">
        <v>0</v>
      </c>
      <c r="AM929">
        <v>0</v>
      </c>
      <c r="AN929">
        <v>0</v>
      </c>
      <c r="AO929">
        <v>0</v>
      </c>
      <c r="AP929">
        <v>700</v>
      </c>
      <c r="AT929" t="str">
        <f t="shared" si="197"/>
        <v>9791137602113</v>
      </c>
      <c r="AV929" t="str">
        <f t="shared" si="198"/>
        <v>판타지 웹소설 &gt; 현대 판타지</v>
      </c>
    </row>
    <row r="930" spans="1:48" x14ac:dyDescent="0.4">
      <c r="A930">
        <v>2313011955</v>
      </c>
      <c r="B930">
        <v>2313012075</v>
      </c>
      <c r="C930" t="str">
        <f>T("갓 오브 블랙필드 121화")</f>
        <v>갓 오브 블랙필드 121화</v>
      </c>
      <c r="D930" t="str">
        <f>T("121")</f>
        <v>121</v>
      </c>
      <c r="E930" t="str">
        <f t="shared" si="195"/>
        <v>무장</v>
      </c>
      <c r="H930" t="str">
        <f t="shared" si="199"/>
        <v>스토리위즈</v>
      </c>
      <c r="I930" t="str">
        <f t="shared" si="196"/>
        <v>갓 오브 블랙필드</v>
      </c>
      <c r="J930">
        <v>100</v>
      </c>
      <c r="K930">
        <v>1000</v>
      </c>
      <c r="L930">
        <v>10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1000</v>
      </c>
      <c r="AH930">
        <v>10</v>
      </c>
      <c r="AI930">
        <v>0</v>
      </c>
      <c r="AJ930">
        <v>0</v>
      </c>
      <c r="AK930">
        <v>1000</v>
      </c>
      <c r="AL930">
        <v>0</v>
      </c>
      <c r="AM930">
        <v>0</v>
      </c>
      <c r="AN930">
        <v>0</v>
      </c>
      <c r="AO930">
        <v>0</v>
      </c>
      <c r="AP930">
        <v>700</v>
      </c>
      <c r="AT930" t="str">
        <f t="shared" si="197"/>
        <v>9791137602113</v>
      </c>
      <c r="AV930" t="str">
        <f t="shared" si="198"/>
        <v>판타지 웹소설 &gt; 현대 판타지</v>
      </c>
    </row>
    <row r="931" spans="1:48" x14ac:dyDescent="0.4">
      <c r="A931">
        <v>2313011955</v>
      </c>
      <c r="B931">
        <v>2313012076</v>
      </c>
      <c r="C931" t="str">
        <f>T("갓 오브 블랙필드 122화")</f>
        <v>갓 오브 블랙필드 122화</v>
      </c>
      <c r="D931" t="str">
        <f>T("122")</f>
        <v>122</v>
      </c>
      <c r="E931" t="str">
        <f t="shared" si="195"/>
        <v>무장</v>
      </c>
      <c r="H931" t="str">
        <f>T("(주)마야마루출판사")</f>
        <v>(주)마야마루출판사</v>
      </c>
      <c r="I931" t="str">
        <f t="shared" si="196"/>
        <v>갓 오브 블랙필드</v>
      </c>
      <c r="J931">
        <v>100</v>
      </c>
      <c r="K931">
        <v>1000</v>
      </c>
      <c r="L931">
        <v>10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1000</v>
      </c>
      <c r="AH931">
        <v>10</v>
      </c>
      <c r="AI931">
        <v>0</v>
      </c>
      <c r="AJ931">
        <v>0</v>
      </c>
      <c r="AK931">
        <v>1000</v>
      </c>
      <c r="AL931">
        <v>0</v>
      </c>
      <c r="AM931">
        <v>0</v>
      </c>
      <c r="AN931">
        <v>0</v>
      </c>
      <c r="AO931">
        <v>0</v>
      </c>
      <c r="AP931">
        <v>700</v>
      </c>
      <c r="AT931" t="str">
        <f t="shared" si="197"/>
        <v>9791137602113</v>
      </c>
      <c r="AV931" t="str">
        <f t="shared" si="198"/>
        <v>판타지 웹소설 &gt; 현대 판타지</v>
      </c>
    </row>
    <row r="932" spans="1:48" x14ac:dyDescent="0.4">
      <c r="A932">
        <v>2313011955</v>
      </c>
      <c r="B932">
        <v>2313012077</v>
      </c>
      <c r="C932" t="str">
        <f>T("갓 오브 블랙필드 123화")</f>
        <v>갓 오브 블랙필드 123화</v>
      </c>
      <c r="D932" t="str">
        <f>T("123")</f>
        <v>123</v>
      </c>
      <c r="E932" t="str">
        <f t="shared" si="195"/>
        <v>무장</v>
      </c>
      <c r="H932" t="str">
        <f t="shared" ref="H932:H971" si="200">T("스토리위즈")</f>
        <v>스토리위즈</v>
      </c>
      <c r="I932" t="str">
        <f t="shared" si="196"/>
        <v>갓 오브 블랙필드</v>
      </c>
      <c r="J932">
        <v>100</v>
      </c>
      <c r="K932">
        <v>1000</v>
      </c>
      <c r="L932">
        <v>10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1000</v>
      </c>
      <c r="AH932">
        <v>10</v>
      </c>
      <c r="AI932">
        <v>0</v>
      </c>
      <c r="AJ932">
        <v>0</v>
      </c>
      <c r="AK932">
        <v>1000</v>
      </c>
      <c r="AL932">
        <v>0</v>
      </c>
      <c r="AM932">
        <v>0</v>
      </c>
      <c r="AN932">
        <v>0</v>
      </c>
      <c r="AO932">
        <v>0</v>
      </c>
      <c r="AP932">
        <v>700</v>
      </c>
      <c r="AT932" t="str">
        <f t="shared" si="197"/>
        <v>9791137602113</v>
      </c>
      <c r="AV932" t="str">
        <f t="shared" si="198"/>
        <v>판타지 웹소설 &gt; 현대 판타지</v>
      </c>
    </row>
    <row r="933" spans="1:48" x14ac:dyDescent="0.4">
      <c r="A933">
        <v>2313011955</v>
      </c>
      <c r="B933">
        <v>2313012078</v>
      </c>
      <c r="C933" t="str">
        <f>T("갓 오브 블랙필드 124화")</f>
        <v>갓 오브 블랙필드 124화</v>
      </c>
      <c r="D933" t="str">
        <f>T("124")</f>
        <v>124</v>
      </c>
      <c r="E933" t="str">
        <f t="shared" si="195"/>
        <v>무장</v>
      </c>
      <c r="H933" t="str">
        <f t="shared" si="200"/>
        <v>스토리위즈</v>
      </c>
      <c r="I933" t="str">
        <f t="shared" si="196"/>
        <v>갓 오브 블랙필드</v>
      </c>
      <c r="J933">
        <v>100</v>
      </c>
      <c r="K933">
        <v>1000</v>
      </c>
      <c r="L933">
        <v>10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1000</v>
      </c>
      <c r="AH933">
        <v>10</v>
      </c>
      <c r="AI933">
        <v>0</v>
      </c>
      <c r="AJ933">
        <v>0</v>
      </c>
      <c r="AK933">
        <v>1000</v>
      </c>
      <c r="AL933">
        <v>0</v>
      </c>
      <c r="AM933">
        <v>0</v>
      </c>
      <c r="AN933">
        <v>0</v>
      </c>
      <c r="AO933">
        <v>0</v>
      </c>
      <c r="AP933">
        <v>700</v>
      </c>
      <c r="AT933" t="str">
        <f t="shared" si="197"/>
        <v>9791137602113</v>
      </c>
      <c r="AV933" t="str">
        <f t="shared" si="198"/>
        <v>판타지 웹소설 &gt; 현대 판타지</v>
      </c>
    </row>
    <row r="934" spans="1:48" x14ac:dyDescent="0.4">
      <c r="A934">
        <v>2313011955</v>
      </c>
      <c r="B934">
        <v>2313012079</v>
      </c>
      <c r="C934" t="str">
        <f>T("갓 오브 블랙필드 125화")</f>
        <v>갓 오브 블랙필드 125화</v>
      </c>
      <c r="D934" t="str">
        <f>T("125")</f>
        <v>125</v>
      </c>
      <c r="E934" t="str">
        <f t="shared" si="195"/>
        <v>무장</v>
      </c>
      <c r="H934" t="str">
        <f t="shared" si="200"/>
        <v>스토리위즈</v>
      </c>
      <c r="I934" t="str">
        <f t="shared" si="196"/>
        <v>갓 오브 블랙필드</v>
      </c>
      <c r="J934">
        <v>100</v>
      </c>
      <c r="K934">
        <v>1000</v>
      </c>
      <c r="L934">
        <v>10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1000</v>
      </c>
      <c r="AH934">
        <v>10</v>
      </c>
      <c r="AI934">
        <v>0</v>
      </c>
      <c r="AJ934">
        <v>0</v>
      </c>
      <c r="AK934">
        <v>1000</v>
      </c>
      <c r="AL934">
        <v>0</v>
      </c>
      <c r="AM934">
        <v>0</v>
      </c>
      <c r="AN934">
        <v>0</v>
      </c>
      <c r="AO934">
        <v>0</v>
      </c>
      <c r="AP934">
        <v>700</v>
      </c>
      <c r="AT934" t="str">
        <f t="shared" si="197"/>
        <v>9791137602113</v>
      </c>
      <c r="AV934" t="str">
        <f t="shared" si="198"/>
        <v>판타지 웹소설 &gt; 현대 판타지</v>
      </c>
    </row>
    <row r="935" spans="1:48" x14ac:dyDescent="0.4">
      <c r="A935">
        <v>2313011955</v>
      </c>
      <c r="B935">
        <v>2313012080</v>
      </c>
      <c r="C935" t="str">
        <f>T("갓 오브 블랙필드 126화")</f>
        <v>갓 오브 블랙필드 126화</v>
      </c>
      <c r="D935" t="str">
        <f>T("126")</f>
        <v>126</v>
      </c>
      <c r="E935" t="str">
        <f t="shared" si="195"/>
        <v>무장</v>
      </c>
      <c r="H935" t="str">
        <f t="shared" si="200"/>
        <v>스토리위즈</v>
      </c>
      <c r="I935" t="str">
        <f t="shared" si="196"/>
        <v>갓 오브 블랙필드</v>
      </c>
      <c r="J935">
        <v>100</v>
      </c>
      <c r="K935">
        <v>1000</v>
      </c>
      <c r="L935">
        <v>10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1000</v>
      </c>
      <c r="AH935">
        <v>10</v>
      </c>
      <c r="AI935">
        <v>0</v>
      </c>
      <c r="AJ935">
        <v>0</v>
      </c>
      <c r="AK935">
        <v>1000</v>
      </c>
      <c r="AL935">
        <v>0</v>
      </c>
      <c r="AM935">
        <v>0</v>
      </c>
      <c r="AN935">
        <v>0</v>
      </c>
      <c r="AO935">
        <v>0</v>
      </c>
      <c r="AP935">
        <v>700</v>
      </c>
      <c r="AT935" t="str">
        <f t="shared" si="197"/>
        <v>9791137602113</v>
      </c>
      <c r="AV935" t="str">
        <f t="shared" si="198"/>
        <v>판타지 웹소설 &gt; 현대 판타지</v>
      </c>
    </row>
    <row r="936" spans="1:48" x14ac:dyDescent="0.4">
      <c r="A936">
        <v>2313011955</v>
      </c>
      <c r="B936">
        <v>2313012081</v>
      </c>
      <c r="C936" t="str">
        <f>T("갓 오브 블랙필드 127화")</f>
        <v>갓 오브 블랙필드 127화</v>
      </c>
      <c r="D936" t="str">
        <f>T("127")</f>
        <v>127</v>
      </c>
      <c r="E936" t="str">
        <f t="shared" si="195"/>
        <v>무장</v>
      </c>
      <c r="H936" t="str">
        <f t="shared" si="200"/>
        <v>스토리위즈</v>
      </c>
      <c r="I936" t="str">
        <f t="shared" si="196"/>
        <v>갓 오브 블랙필드</v>
      </c>
      <c r="J936">
        <v>100</v>
      </c>
      <c r="K936">
        <v>1000</v>
      </c>
      <c r="L936">
        <v>10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1000</v>
      </c>
      <c r="AH936">
        <v>10</v>
      </c>
      <c r="AI936">
        <v>0</v>
      </c>
      <c r="AJ936">
        <v>0</v>
      </c>
      <c r="AK936">
        <v>1000</v>
      </c>
      <c r="AL936">
        <v>0</v>
      </c>
      <c r="AM936">
        <v>0</v>
      </c>
      <c r="AN936">
        <v>0</v>
      </c>
      <c r="AO936">
        <v>0</v>
      </c>
      <c r="AP936">
        <v>700</v>
      </c>
      <c r="AT936" t="str">
        <f t="shared" si="197"/>
        <v>9791137602113</v>
      </c>
      <c r="AV936" t="str">
        <f t="shared" si="198"/>
        <v>판타지 웹소설 &gt; 현대 판타지</v>
      </c>
    </row>
    <row r="937" spans="1:48" x14ac:dyDescent="0.4">
      <c r="A937">
        <v>2313011955</v>
      </c>
      <c r="B937">
        <v>2313012082</v>
      </c>
      <c r="C937" t="str">
        <f>T("갓 오브 블랙필드 128화")</f>
        <v>갓 오브 블랙필드 128화</v>
      </c>
      <c r="D937" t="str">
        <f>T("128")</f>
        <v>128</v>
      </c>
      <c r="E937" t="str">
        <f t="shared" si="195"/>
        <v>무장</v>
      </c>
      <c r="H937" t="str">
        <f t="shared" si="200"/>
        <v>스토리위즈</v>
      </c>
      <c r="I937" t="str">
        <f t="shared" si="196"/>
        <v>갓 오브 블랙필드</v>
      </c>
      <c r="J937">
        <v>100</v>
      </c>
      <c r="K937">
        <v>1000</v>
      </c>
      <c r="L937">
        <v>10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1000</v>
      </c>
      <c r="AH937">
        <v>10</v>
      </c>
      <c r="AI937">
        <v>0</v>
      </c>
      <c r="AJ937">
        <v>0</v>
      </c>
      <c r="AK937">
        <v>1000</v>
      </c>
      <c r="AL937">
        <v>0</v>
      </c>
      <c r="AM937">
        <v>0</v>
      </c>
      <c r="AN937">
        <v>0</v>
      </c>
      <c r="AO937">
        <v>0</v>
      </c>
      <c r="AP937">
        <v>700</v>
      </c>
      <c r="AT937" t="str">
        <f t="shared" si="197"/>
        <v>9791137602113</v>
      </c>
      <c r="AV937" t="str">
        <f t="shared" si="198"/>
        <v>판타지 웹소설 &gt; 현대 판타지</v>
      </c>
    </row>
    <row r="938" spans="1:48" x14ac:dyDescent="0.4">
      <c r="A938">
        <v>2313011955</v>
      </c>
      <c r="B938">
        <v>2313012083</v>
      </c>
      <c r="C938" t="str">
        <f>T("갓 오브 블랙필드 129화")</f>
        <v>갓 오브 블랙필드 129화</v>
      </c>
      <c r="D938" t="str">
        <f>T("129")</f>
        <v>129</v>
      </c>
      <c r="E938" t="str">
        <f t="shared" si="195"/>
        <v>무장</v>
      </c>
      <c r="H938" t="str">
        <f t="shared" si="200"/>
        <v>스토리위즈</v>
      </c>
      <c r="I938" t="str">
        <f t="shared" si="196"/>
        <v>갓 오브 블랙필드</v>
      </c>
      <c r="J938">
        <v>100</v>
      </c>
      <c r="K938">
        <v>1000</v>
      </c>
      <c r="L938">
        <v>10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1000</v>
      </c>
      <c r="AH938">
        <v>10</v>
      </c>
      <c r="AI938">
        <v>0</v>
      </c>
      <c r="AJ938">
        <v>0</v>
      </c>
      <c r="AK938">
        <v>1000</v>
      </c>
      <c r="AL938">
        <v>0</v>
      </c>
      <c r="AM938">
        <v>0</v>
      </c>
      <c r="AN938">
        <v>0</v>
      </c>
      <c r="AO938">
        <v>0</v>
      </c>
      <c r="AP938">
        <v>700</v>
      </c>
      <c r="AT938" t="str">
        <f t="shared" si="197"/>
        <v>9791137602113</v>
      </c>
      <c r="AV938" t="str">
        <f t="shared" si="198"/>
        <v>판타지 웹소설 &gt; 현대 판타지</v>
      </c>
    </row>
    <row r="939" spans="1:48" x14ac:dyDescent="0.4">
      <c r="A939">
        <v>2313011955</v>
      </c>
      <c r="B939">
        <v>2313012084</v>
      </c>
      <c r="C939" t="str">
        <f>T("갓 오브 블랙필드 130화")</f>
        <v>갓 오브 블랙필드 130화</v>
      </c>
      <c r="D939" t="str">
        <f>T("130")</f>
        <v>130</v>
      </c>
      <c r="E939" t="str">
        <f t="shared" si="195"/>
        <v>무장</v>
      </c>
      <c r="H939" t="str">
        <f t="shared" si="200"/>
        <v>스토리위즈</v>
      </c>
      <c r="I939" t="str">
        <f t="shared" si="196"/>
        <v>갓 오브 블랙필드</v>
      </c>
      <c r="J939">
        <v>100</v>
      </c>
      <c r="K939">
        <v>1000</v>
      </c>
      <c r="L939">
        <v>10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1000</v>
      </c>
      <c r="AH939">
        <v>10</v>
      </c>
      <c r="AI939">
        <v>0</v>
      </c>
      <c r="AJ939">
        <v>0</v>
      </c>
      <c r="AK939">
        <v>1000</v>
      </c>
      <c r="AL939">
        <v>0</v>
      </c>
      <c r="AM939">
        <v>0</v>
      </c>
      <c r="AN939">
        <v>0</v>
      </c>
      <c r="AO939">
        <v>0</v>
      </c>
      <c r="AP939">
        <v>700</v>
      </c>
      <c r="AT939" t="str">
        <f t="shared" si="197"/>
        <v>9791137602113</v>
      </c>
      <c r="AV939" t="str">
        <f t="shared" si="198"/>
        <v>판타지 웹소설 &gt; 현대 판타지</v>
      </c>
    </row>
    <row r="940" spans="1:48" x14ac:dyDescent="0.4">
      <c r="A940">
        <v>2313011955</v>
      </c>
      <c r="B940">
        <v>2313012085</v>
      </c>
      <c r="C940" t="str">
        <f>T("갓 오브 블랙필드 131화")</f>
        <v>갓 오브 블랙필드 131화</v>
      </c>
      <c r="D940" t="str">
        <f>T("131")</f>
        <v>131</v>
      </c>
      <c r="E940" t="str">
        <f t="shared" si="195"/>
        <v>무장</v>
      </c>
      <c r="H940" t="str">
        <f t="shared" si="200"/>
        <v>스토리위즈</v>
      </c>
      <c r="I940" t="str">
        <f t="shared" si="196"/>
        <v>갓 오브 블랙필드</v>
      </c>
      <c r="J940">
        <v>100</v>
      </c>
      <c r="K940">
        <v>1000</v>
      </c>
      <c r="L940">
        <v>10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1000</v>
      </c>
      <c r="AH940">
        <v>10</v>
      </c>
      <c r="AI940">
        <v>0</v>
      </c>
      <c r="AJ940">
        <v>0</v>
      </c>
      <c r="AK940">
        <v>1000</v>
      </c>
      <c r="AL940">
        <v>0</v>
      </c>
      <c r="AM940">
        <v>0</v>
      </c>
      <c r="AN940">
        <v>0</v>
      </c>
      <c r="AO940">
        <v>0</v>
      </c>
      <c r="AP940">
        <v>700</v>
      </c>
      <c r="AT940" t="str">
        <f t="shared" si="197"/>
        <v>9791137602113</v>
      </c>
      <c r="AV940" t="str">
        <f t="shared" si="198"/>
        <v>판타지 웹소설 &gt; 현대 판타지</v>
      </c>
    </row>
    <row r="941" spans="1:48" x14ac:dyDescent="0.4">
      <c r="A941">
        <v>2313011955</v>
      </c>
      <c r="B941">
        <v>2313012087</v>
      </c>
      <c r="C941" t="str">
        <f>T("갓 오브 블랙필드 133화")</f>
        <v>갓 오브 블랙필드 133화</v>
      </c>
      <c r="D941" t="str">
        <f>T("133")</f>
        <v>133</v>
      </c>
      <c r="E941" t="str">
        <f t="shared" si="195"/>
        <v>무장</v>
      </c>
      <c r="H941" t="str">
        <f t="shared" si="200"/>
        <v>스토리위즈</v>
      </c>
      <c r="I941" t="str">
        <f t="shared" si="196"/>
        <v>갓 오브 블랙필드</v>
      </c>
      <c r="J941">
        <v>100</v>
      </c>
      <c r="K941">
        <v>1000</v>
      </c>
      <c r="L941">
        <v>10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1000</v>
      </c>
      <c r="AH941">
        <v>10</v>
      </c>
      <c r="AI941">
        <v>0</v>
      </c>
      <c r="AJ941">
        <v>0</v>
      </c>
      <c r="AK941">
        <v>1000</v>
      </c>
      <c r="AL941">
        <v>0</v>
      </c>
      <c r="AM941">
        <v>0</v>
      </c>
      <c r="AN941">
        <v>0</v>
      </c>
      <c r="AO941">
        <v>0</v>
      </c>
      <c r="AP941">
        <v>700</v>
      </c>
      <c r="AT941" t="str">
        <f t="shared" si="197"/>
        <v>9791137602113</v>
      </c>
      <c r="AV941" t="str">
        <f t="shared" si="198"/>
        <v>판타지 웹소설 &gt; 현대 판타지</v>
      </c>
    </row>
    <row r="942" spans="1:48" x14ac:dyDescent="0.4">
      <c r="A942">
        <v>2313011955</v>
      </c>
      <c r="B942">
        <v>2313012088</v>
      </c>
      <c r="C942" t="str">
        <f>T("갓 오브 블랙필드 134화")</f>
        <v>갓 오브 블랙필드 134화</v>
      </c>
      <c r="D942" t="str">
        <f>T("134")</f>
        <v>134</v>
      </c>
      <c r="E942" t="str">
        <f t="shared" si="195"/>
        <v>무장</v>
      </c>
      <c r="H942" t="str">
        <f t="shared" si="200"/>
        <v>스토리위즈</v>
      </c>
      <c r="I942" t="str">
        <f t="shared" si="196"/>
        <v>갓 오브 블랙필드</v>
      </c>
      <c r="J942">
        <v>100</v>
      </c>
      <c r="K942">
        <v>1000</v>
      </c>
      <c r="L942">
        <v>10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1000</v>
      </c>
      <c r="AH942">
        <v>10</v>
      </c>
      <c r="AI942">
        <v>0</v>
      </c>
      <c r="AJ942">
        <v>0</v>
      </c>
      <c r="AK942">
        <v>1000</v>
      </c>
      <c r="AL942">
        <v>0</v>
      </c>
      <c r="AM942">
        <v>0</v>
      </c>
      <c r="AN942">
        <v>0</v>
      </c>
      <c r="AO942">
        <v>0</v>
      </c>
      <c r="AP942">
        <v>700</v>
      </c>
      <c r="AT942" t="str">
        <f t="shared" si="197"/>
        <v>9791137602113</v>
      </c>
      <c r="AV942" t="str">
        <f t="shared" si="198"/>
        <v>판타지 웹소설 &gt; 현대 판타지</v>
      </c>
    </row>
    <row r="943" spans="1:48" x14ac:dyDescent="0.4">
      <c r="A943">
        <v>2313011955</v>
      </c>
      <c r="B943">
        <v>2313012089</v>
      </c>
      <c r="C943" t="str">
        <f>T("갓 오브 블랙필드 135화")</f>
        <v>갓 오브 블랙필드 135화</v>
      </c>
      <c r="D943" t="str">
        <f>T("135")</f>
        <v>135</v>
      </c>
      <c r="E943" t="str">
        <f t="shared" si="195"/>
        <v>무장</v>
      </c>
      <c r="H943" t="str">
        <f t="shared" si="200"/>
        <v>스토리위즈</v>
      </c>
      <c r="I943" t="str">
        <f t="shared" si="196"/>
        <v>갓 오브 블랙필드</v>
      </c>
      <c r="J943">
        <v>100</v>
      </c>
      <c r="K943">
        <v>1000</v>
      </c>
      <c r="L943">
        <v>10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1000</v>
      </c>
      <c r="AH943">
        <v>10</v>
      </c>
      <c r="AI943">
        <v>0</v>
      </c>
      <c r="AJ943">
        <v>0</v>
      </c>
      <c r="AK943">
        <v>1000</v>
      </c>
      <c r="AL943">
        <v>0</v>
      </c>
      <c r="AM943">
        <v>0</v>
      </c>
      <c r="AN943">
        <v>0</v>
      </c>
      <c r="AO943">
        <v>0</v>
      </c>
      <c r="AP943">
        <v>700</v>
      </c>
      <c r="AT943" t="str">
        <f t="shared" si="197"/>
        <v>9791137602113</v>
      </c>
      <c r="AV943" t="str">
        <f t="shared" si="198"/>
        <v>판타지 웹소설 &gt; 현대 판타지</v>
      </c>
    </row>
    <row r="944" spans="1:48" x14ac:dyDescent="0.4">
      <c r="A944">
        <v>2313011955</v>
      </c>
      <c r="B944">
        <v>2313012090</v>
      </c>
      <c r="C944" t="str">
        <f>T("갓 오브 블랙필드 136화")</f>
        <v>갓 오브 블랙필드 136화</v>
      </c>
      <c r="D944" t="str">
        <f>T("136")</f>
        <v>136</v>
      </c>
      <c r="E944" t="str">
        <f t="shared" si="195"/>
        <v>무장</v>
      </c>
      <c r="H944" t="str">
        <f t="shared" si="200"/>
        <v>스토리위즈</v>
      </c>
      <c r="I944" t="str">
        <f t="shared" si="196"/>
        <v>갓 오브 블랙필드</v>
      </c>
      <c r="J944">
        <v>100</v>
      </c>
      <c r="K944">
        <v>1000</v>
      </c>
      <c r="L944">
        <v>10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1000</v>
      </c>
      <c r="AH944">
        <v>10</v>
      </c>
      <c r="AI944">
        <v>0</v>
      </c>
      <c r="AJ944">
        <v>0</v>
      </c>
      <c r="AK944">
        <v>1000</v>
      </c>
      <c r="AL944">
        <v>0</v>
      </c>
      <c r="AM944">
        <v>0</v>
      </c>
      <c r="AN944">
        <v>0</v>
      </c>
      <c r="AO944">
        <v>0</v>
      </c>
      <c r="AP944">
        <v>700</v>
      </c>
      <c r="AT944" t="str">
        <f t="shared" si="197"/>
        <v>9791137602113</v>
      </c>
      <c r="AV944" t="str">
        <f t="shared" si="198"/>
        <v>판타지 웹소설 &gt; 현대 판타지</v>
      </c>
    </row>
    <row r="945" spans="1:48" x14ac:dyDescent="0.4">
      <c r="A945">
        <v>2313011955</v>
      </c>
      <c r="B945">
        <v>2313012091</v>
      </c>
      <c r="C945" t="str">
        <f>T("갓 오브 블랙필드 137화")</f>
        <v>갓 오브 블랙필드 137화</v>
      </c>
      <c r="D945" t="str">
        <f>T("137")</f>
        <v>137</v>
      </c>
      <c r="E945" t="str">
        <f t="shared" si="195"/>
        <v>무장</v>
      </c>
      <c r="H945" t="str">
        <f t="shared" si="200"/>
        <v>스토리위즈</v>
      </c>
      <c r="I945" t="str">
        <f t="shared" si="196"/>
        <v>갓 오브 블랙필드</v>
      </c>
      <c r="J945">
        <v>100</v>
      </c>
      <c r="K945">
        <v>1000</v>
      </c>
      <c r="L945">
        <v>10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1000</v>
      </c>
      <c r="AH945">
        <v>10</v>
      </c>
      <c r="AI945">
        <v>0</v>
      </c>
      <c r="AJ945">
        <v>0</v>
      </c>
      <c r="AK945">
        <v>1000</v>
      </c>
      <c r="AL945">
        <v>0</v>
      </c>
      <c r="AM945">
        <v>0</v>
      </c>
      <c r="AN945">
        <v>0</v>
      </c>
      <c r="AO945">
        <v>0</v>
      </c>
      <c r="AP945">
        <v>700</v>
      </c>
      <c r="AT945" t="str">
        <f t="shared" si="197"/>
        <v>9791137602113</v>
      </c>
      <c r="AV945" t="str">
        <f t="shared" si="198"/>
        <v>판타지 웹소설 &gt; 현대 판타지</v>
      </c>
    </row>
    <row r="946" spans="1:48" x14ac:dyDescent="0.4">
      <c r="A946">
        <v>2313011955</v>
      </c>
      <c r="B946">
        <v>2313012092</v>
      </c>
      <c r="C946" t="str">
        <f>T("갓 오브 블랙필드 138화")</f>
        <v>갓 오브 블랙필드 138화</v>
      </c>
      <c r="D946" t="str">
        <f>T("138")</f>
        <v>138</v>
      </c>
      <c r="E946" t="str">
        <f t="shared" si="195"/>
        <v>무장</v>
      </c>
      <c r="H946" t="str">
        <f t="shared" si="200"/>
        <v>스토리위즈</v>
      </c>
      <c r="I946" t="str">
        <f t="shared" si="196"/>
        <v>갓 오브 블랙필드</v>
      </c>
      <c r="J946">
        <v>100</v>
      </c>
      <c r="K946">
        <v>1000</v>
      </c>
      <c r="L946">
        <v>10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1000</v>
      </c>
      <c r="AH946">
        <v>10</v>
      </c>
      <c r="AI946">
        <v>0</v>
      </c>
      <c r="AJ946">
        <v>0</v>
      </c>
      <c r="AK946">
        <v>1000</v>
      </c>
      <c r="AL946">
        <v>0</v>
      </c>
      <c r="AM946">
        <v>0</v>
      </c>
      <c r="AN946">
        <v>0</v>
      </c>
      <c r="AO946">
        <v>0</v>
      </c>
      <c r="AP946">
        <v>700</v>
      </c>
      <c r="AT946" t="str">
        <f t="shared" si="197"/>
        <v>9791137602113</v>
      </c>
      <c r="AV946" t="str">
        <f t="shared" si="198"/>
        <v>판타지 웹소설 &gt; 현대 판타지</v>
      </c>
    </row>
    <row r="947" spans="1:48" x14ac:dyDescent="0.4">
      <c r="A947">
        <v>2313011955</v>
      </c>
      <c r="B947">
        <v>2313012093</v>
      </c>
      <c r="C947" t="str">
        <f>T("갓 오브 블랙필드 139화")</f>
        <v>갓 오브 블랙필드 139화</v>
      </c>
      <c r="D947" t="str">
        <f>T("139")</f>
        <v>139</v>
      </c>
      <c r="E947" t="str">
        <f t="shared" si="195"/>
        <v>무장</v>
      </c>
      <c r="H947" t="str">
        <f t="shared" si="200"/>
        <v>스토리위즈</v>
      </c>
      <c r="I947" t="str">
        <f t="shared" si="196"/>
        <v>갓 오브 블랙필드</v>
      </c>
      <c r="J947">
        <v>100</v>
      </c>
      <c r="K947">
        <v>1000</v>
      </c>
      <c r="L947">
        <v>10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1000</v>
      </c>
      <c r="AH947">
        <v>10</v>
      </c>
      <c r="AI947">
        <v>0</v>
      </c>
      <c r="AJ947">
        <v>0</v>
      </c>
      <c r="AK947">
        <v>1000</v>
      </c>
      <c r="AL947">
        <v>0</v>
      </c>
      <c r="AM947">
        <v>0</v>
      </c>
      <c r="AN947">
        <v>0</v>
      </c>
      <c r="AO947">
        <v>0</v>
      </c>
      <c r="AP947">
        <v>700</v>
      </c>
      <c r="AT947" t="str">
        <f t="shared" si="197"/>
        <v>9791137602113</v>
      </c>
      <c r="AV947" t="str">
        <f t="shared" si="198"/>
        <v>판타지 웹소설 &gt; 현대 판타지</v>
      </c>
    </row>
    <row r="948" spans="1:48" x14ac:dyDescent="0.4">
      <c r="A948">
        <v>2313011955</v>
      </c>
      <c r="B948">
        <v>2313012095</v>
      </c>
      <c r="C948" t="str">
        <f>T("갓 오브 블랙필드 141화")</f>
        <v>갓 오브 블랙필드 141화</v>
      </c>
      <c r="D948" t="str">
        <f>T("141")</f>
        <v>141</v>
      </c>
      <c r="E948" t="str">
        <f t="shared" si="195"/>
        <v>무장</v>
      </c>
      <c r="H948" t="str">
        <f t="shared" si="200"/>
        <v>스토리위즈</v>
      </c>
      <c r="I948" t="str">
        <f t="shared" si="196"/>
        <v>갓 오브 블랙필드</v>
      </c>
      <c r="J948">
        <v>100</v>
      </c>
      <c r="K948">
        <v>1000</v>
      </c>
      <c r="L948">
        <v>10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1000</v>
      </c>
      <c r="AH948">
        <v>10</v>
      </c>
      <c r="AI948">
        <v>0</v>
      </c>
      <c r="AJ948">
        <v>0</v>
      </c>
      <c r="AK948">
        <v>1000</v>
      </c>
      <c r="AL948">
        <v>0</v>
      </c>
      <c r="AM948">
        <v>0</v>
      </c>
      <c r="AN948">
        <v>0</v>
      </c>
      <c r="AO948">
        <v>0</v>
      </c>
      <c r="AP948">
        <v>700</v>
      </c>
      <c r="AT948" t="str">
        <f t="shared" si="197"/>
        <v>9791137602113</v>
      </c>
      <c r="AV948" t="str">
        <f t="shared" si="198"/>
        <v>판타지 웹소설 &gt; 현대 판타지</v>
      </c>
    </row>
    <row r="949" spans="1:48" x14ac:dyDescent="0.4">
      <c r="A949">
        <v>2313011955</v>
      </c>
      <c r="B949">
        <v>2313012096</v>
      </c>
      <c r="C949" t="str">
        <f>T("갓 오브 블랙필드 142화")</f>
        <v>갓 오브 블랙필드 142화</v>
      </c>
      <c r="D949" t="str">
        <f>T("142")</f>
        <v>142</v>
      </c>
      <c r="E949" t="str">
        <f t="shared" si="195"/>
        <v>무장</v>
      </c>
      <c r="H949" t="str">
        <f t="shared" si="200"/>
        <v>스토리위즈</v>
      </c>
      <c r="I949" t="str">
        <f t="shared" si="196"/>
        <v>갓 오브 블랙필드</v>
      </c>
      <c r="J949">
        <v>100</v>
      </c>
      <c r="K949">
        <v>1000</v>
      </c>
      <c r="L949">
        <v>10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1000</v>
      </c>
      <c r="AH949">
        <v>10</v>
      </c>
      <c r="AI949">
        <v>0</v>
      </c>
      <c r="AJ949">
        <v>0</v>
      </c>
      <c r="AK949">
        <v>1000</v>
      </c>
      <c r="AL949">
        <v>0</v>
      </c>
      <c r="AM949">
        <v>0</v>
      </c>
      <c r="AN949">
        <v>0</v>
      </c>
      <c r="AO949">
        <v>0</v>
      </c>
      <c r="AP949">
        <v>700</v>
      </c>
      <c r="AT949" t="str">
        <f t="shared" si="197"/>
        <v>9791137602113</v>
      </c>
      <c r="AV949" t="str">
        <f t="shared" si="198"/>
        <v>판타지 웹소설 &gt; 현대 판타지</v>
      </c>
    </row>
    <row r="950" spans="1:48" x14ac:dyDescent="0.4">
      <c r="A950">
        <v>2313011955</v>
      </c>
      <c r="B950">
        <v>2313012097</v>
      </c>
      <c r="C950" t="str">
        <f>T("갓 오브 블랙필드 143화")</f>
        <v>갓 오브 블랙필드 143화</v>
      </c>
      <c r="D950" t="str">
        <f>T("143")</f>
        <v>143</v>
      </c>
      <c r="E950" t="str">
        <f t="shared" si="195"/>
        <v>무장</v>
      </c>
      <c r="H950" t="str">
        <f t="shared" si="200"/>
        <v>스토리위즈</v>
      </c>
      <c r="I950" t="str">
        <f t="shared" si="196"/>
        <v>갓 오브 블랙필드</v>
      </c>
      <c r="J950">
        <v>100</v>
      </c>
      <c r="K950">
        <v>1000</v>
      </c>
      <c r="L950">
        <v>10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1000</v>
      </c>
      <c r="AH950">
        <v>10</v>
      </c>
      <c r="AI950">
        <v>0</v>
      </c>
      <c r="AJ950">
        <v>0</v>
      </c>
      <c r="AK950">
        <v>1000</v>
      </c>
      <c r="AL950">
        <v>0</v>
      </c>
      <c r="AM950">
        <v>0</v>
      </c>
      <c r="AN950">
        <v>0</v>
      </c>
      <c r="AO950">
        <v>0</v>
      </c>
      <c r="AP950">
        <v>700</v>
      </c>
      <c r="AT950" t="str">
        <f t="shared" si="197"/>
        <v>9791137602113</v>
      </c>
      <c r="AV950" t="str">
        <f t="shared" si="198"/>
        <v>판타지 웹소설 &gt; 현대 판타지</v>
      </c>
    </row>
    <row r="951" spans="1:48" x14ac:dyDescent="0.4">
      <c r="A951">
        <v>2313011955</v>
      </c>
      <c r="B951">
        <v>2313012098</v>
      </c>
      <c r="C951" t="str">
        <f>T("갓 오브 블랙필드 144화")</f>
        <v>갓 오브 블랙필드 144화</v>
      </c>
      <c r="D951" t="str">
        <f>T("144")</f>
        <v>144</v>
      </c>
      <c r="E951" t="str">
        <f t="shared" si="195"/>
        <v>무장</v>
      </c>
      <c r="H951" t="str">
        <f t="shared" si="200"/>
        <v>스토리위즈</v>
      </c>
      <c r="I951" t="str">
        <f t="shared" si="196"/>
        <v>갓 오브 블랙필드</v>
      </c>
      <c r="J951">
        <v>100</v>
      </c>
      <c r="K951">
        <v>1000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1000</v>
      </c>
      <c r="AH951">
        <v>10</v>
      </c>
      <c r="AI951">
        <v>0</v>
      </c>
      <c r="AJ951">
        <v>0</v>
      </c>
      <c r="AK951">
        <v>1000</v>
      </c>
      <c r="AL951">
        <v>0</v>
      </c>
      <c r="AM951">
        <v>0</v>
      </c>
      <c r="AN951">
        <v>0</v>
      </c>
      <c r="AO951">
        <v>0</v>
      </c>
      <c r="AP951">
        <v>700</v>
      </c>
      <c r="AT951" t="str">
        <f t="shared" si="197"/>
        <v>9791137602113</v>
      </c>
      <c r="AV951" t="str">
        <f t="shared" si="198"/>
        <v>판타지 웹소설 &gt; 현대 판타지</v>
      </c>
    </row>
    <row r="952" spans="1:48" x14ac:dyDescent="0.4">
      <c r="A952">
        <v>2313011955</v>
      </c>
      <c r="B952">
        <v>2313012099</v>
      </c>
      <c r="C952" t="str">
        <f>T("갓 오브 블랙필드 145화")</f>
        <v>갓 오브 블랙필드 145화</v>
      </c>
      <c r="D952" t="str">
        <f>T("145")</f>
        <v>145</v>
      </c>
      <c r="E952" t="str">
        <f t="shared" si="195"/>
        <v>무장</v>
      </c>
      <c r="H952" t="str">
        <f t="shared" si="200"/>
        <v>스토리위즈</v>
      </c>
      <c r="I952" t="str">
        <f t="shared" si="196"/>
        <v>갓 오브 블랙필드</v>
      </c>
      <c r="J952">
        <v>100</v>
      </c>
      <c r="K952">
        <v>1000</v>
      </c>
      <c r="L952">
        <v>10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1000</v>
      </c>
      <c r="AH952">
        <v>10</v>
      </c>
      <c r="AI952">
        <v>0</v>
      </c>
      <c r="AJ952">
        <v>0</v>
      </c>
      <c r="AK952">
        <v>1000</v>
      </c>
      <c r="AL952">
        <v>0</v>
      </c>
      <c r="AM952">
        <v>0</v>
      </c>
      <c r="AN952">
        <v>0</v>
      </c>
      <c r="AO952">
        <v>0</v>
      </c>
      <c r="AP952">
        <v>700</v>
      </c>
      <c r="AT952" t="str">
        <f t="shared" si="197"/>
        <v>9791137602113</v>
      </c>
      <c r="AV952" t="str">
        <f t="shared" si="198"/>
        <v>판타지 웹소설 &gt; 현대 판타지</v>
      </c>
    </row>
    <row r="953" spans="1:48" x14ac:dyDescent="0.4">
      <c r="A953">
        <v>2313011955</v>
      </c>
      <c r="B953">
        <v>2313012100</v>
      </c>
      <c r="C953" t="str">
        <f>T("갓 오브 블랙필드 146화")</f>
        <v>갓 오브 블랙필드 146화</v>
      </c>
      <c r="D953" t="str">
        <f>T("146")</f>
        <v>146</v>
      </c>
      <c r="E953" t="str">
        <f t="shared" si="195"/>
        <v>무장</v>
      </c>
      <c r="H953" t="str">
        <f t="shared" si="200"/>
        <v>스토리위즈</v>
      </c>
      <c r="I953" t="str">
        <f t="shared" si="196"/>
        <v>갓 오브 블랙필드</v>
      </c>
      <c r="J953">
        <v>100</v>
      </c>
      <c r="K953">
        <v>1000</v>
      </c>
      <c r="L953">
        <v>10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1000</v>
      </c>
      <c r="AH953">
        <v>10</v>
      </c>
      <c r="AI953">
        <v>0</v>
      </c>
      <c r="AJ953">
        <v>0</v>
      </c>
      <c r="AK953">
        <v>1000</v>
      </c>
      <c r="AL953">
        <v>0</v>
      </c>
      <c r="AM953">
        <v>0</v>
      </c>
      <c r="AN953">
        <v>0</v>
      </c>
      <c r="AO953">
        <v>0</v>
      </c>
      <c r="AP953">
        <v>700</v>
      </c>
      <c r="AT953" t="str">
        <f t="shared" si="197"/>
        <v>9791137602113</v>
      </c>
      <c r="AV953" t="str">
        <f t="shared" si="198"/>
        <v>판타지 웹소설 &gt; 현대 판타지</v>
      </c>
    </row>
    <row r="954" spans="1:48" x14ac:dyDescent="0.4">
      <c r="A954">
        <v>2313011955</v>
      </c>
      <c r="B954">
        <v>2313012101</v>
      </c>
      <c r="C954" t="str">
        <f>T("갓 오브 블랙필드 147화")</f>
        <v>갓 오브 블랙필드 147화</v>
      </c>
      <c r="D954" t="str">
        <f>T("147")</f>
        <v>147</v>
      </c>
      <c r="E954" t="str">
        <f t="shared" si="195"/>
        <v>무장</v>
      </c>
      <c r="H954" t="str">
        <f t="shared" si="200"/>
        <v>스토리위즈</v>
      </c>
      <c r="I954" t="str">
        <f t="shared" si="196"/>
        <v>갓 오브 블랙필드</v>
      </c>
      <c r="J954">
        <v>100</v>
      </c>
      <c r="K954">
        <v>1000</v>
      </c>
      <c r="L954">
        <v>10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1000</v>
      </c>
      <c r="AH954">
        <v>10</v>
      </c>
      <c r="AI954">
        <v>0</v>
      </c>
      <c r="AJ954">
        <v>0</v>
      </c>
      <c r="AK954">
        <v>1000</v>
      </c>
      <c r="AL954">
        <v>0</v>
      </c>
      <c r="AM954">
        <v>0</v>
      </c>
      <c r="AN954">
        <v>0</v>
      </c>
      <c r="AO954">
        <v>0</v>
      </c>
      <c r="AP954">
        <v>700</v>
      </c>
      <c r="AT954" t="str">
        <f t="shared" si="197"/>
        <v>9791137602113</v>
      </c>
      <c r="AV954" t="str">
        <f t="shared" si="198"/>
        <v>판타지 웹소설 &gt; 현대 판타지</v>
      </c>
    </row>
    <row r="955" spans="1:48" x14ac:dyDescent="0.4">
      <c r="A955">
        <v>2313011955</v>
      </c>
      <c r="B955">
        <v>2313012102</v>
      </c>
      <c r="C955" t="str">
        <f>T("갓 오브 블랙필드 148화")</f>
        <v>갓 오브 블랙필드 148화</v>
      </c>
      <c r="D955" t="str">
        <f>T("148")</f>
        <v>148</v>
      </c>
      <c r="E955" t="str">
        <f t="shared" si="195"/>
        <v>무장</v>
      </c>
      <c r="H955" t="str">
        <f t="shared" si="200"/>
        <v>스토리위즈</v>
      </c>
      <c r="I955" t="str">
        <f t="shared" si="196"/>
        <v>갓 오브 블랙필드</v>
      </c>
      <c r="J955">
        <v>100</v>
      </c>
      <c r="K955">
        <v>1000</v>
      </c>
      <c r="L955">
        <v>10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1000</v>
      </c>
      <c r="AH955">
        <v>10</v>
      </c>
      <c r="AI955">
        <v>0</v>
      </c>
      <c r="AJ955">
        <v>0</v>
      </c>
      <c r="AK955">
        <v>1000</v>
      </c>
      <c r="AL955">
        <v>0</v>
      </c>
      <c r="AM955">
        <v>0</v>
      </c>
      <c r="AN955">
        <v>0</v>
      </c>
      <c r="AO955">
        <v>0</v>
      </c>
      <c r="AP955">
        <v>700</v>
      </c>
      <c r="AT955" t="str">
        <f t="shared" si="197"/>
        <v>9791137602113</v>
      </c>
      <c r="AV955" t="str">
        <f t="shared" si="198"/>
        <v>판타지 웹소설 &gt; 현대 판타지</v>
      </c>
    </row>
    <row r="956" spans="1:48" x14ac:dyDescent="0.4">
      <c r="A956">
        <v>2313011955</v>
      </c>
      <c r="B956">
        <v>2313012103</v>
      </c>
      <c r="C956" t="str">
        <f>T("갓 오브 블랙필드 149화")</f>
        <v>갓 오브 블랙필드 149화</v>
      </c>
      <c r="D956" t="str">
        <f>T("149")</f>
        <v>149</v>
      </c>
      <c r="E956" t="str">
        <f t="shared" si="195"/>
        <v>무장</v>
      </c>
      <c r="H956" t="str">
        <f t="shared" si="200"/>
        <v>스토리위즈</v>
      </c>
      <c r="I956" t="str">
        <f t="shared" si="196"/>
        <v>갓 오브 블랙필드</v>
      </c>
      <c r="J956">
        <v>100</v>
      </c>
      <c r="K956">
        <v>1000</v>
      </c>
      <c r="L956">
        <v>10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1000</v>
      </c>
      <c r="AH956">
        <v>10</v>
      </c>
      <c r="AI956">
        <v>0</v>
      </c>
      <c r="AJ956">
        <v>0</v>
      </c>
      <c r="AK956">
        <v>1000</v>
      </c>
      <c r="AL956">
        <v>0</v>
      </c>
      <c r="AM956">
        <v>0</v>
      </c>
      <c r="AN956">
        <v>0</v>
      </c>
      <c r="AO956">
        <v>0</v>
      </c>
      <c r="AP956">
        <v>700</v>
      </c>
      <c r="AT956" t="str">
        <f t="shared" si="197"/>
        <v>9791137602113</v>
      </c>
      <c r="AV956" t="str">
        <f t="shared" si="198"/>
        <v>판타지 웹소설 &gt; 현대 판타지</v>
      </c>
    </row>
    <row r="957" spans="1:48" x14ac:dyDescent="0.4">
      <c r="A957">
        <v>2313011955</v>
      </c>
      <c r="B957">
        <v>2313012104</v>
      </c>
      <c r="C957" t="str">
        <f>T("갓 오브 블랙필드 150화")</f>
        <v>갓 오브 블랙필드 150화</v>
      </c>
      <c r="D957" t="str">
        <f>T("150")</f>
        <v>150</v>
      </c>
      <c r="E957" t="str">
        <f t="shared" si="195"/>
        <v>무장</v>
      </c>
      <c r="H957" t="str">
        <f t="shared" si="200"/>
        <v>스토리위즈</v>
      </c>
      <c r="I957" t="str">
        <f t="shared" si="196"/>
        <v>갓 오브 블랙필드</v>
      </c>
      <c r="J957">
        <v>100</v>
      </c>
      <c r="K957">
        <v>1000</v>
      </c>
      <c r="L957">
        <v>10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1000</v>
      </c>
      <c r="AH957">
        <v>10</v>
      </c>
      <c r="AI957">
        <v>0</v>
      </c>
      <c r="AJ957">
        <v>0</v>
      </c>
      <c r="AK957">
        <v>1000</v>
      </c>
      <c r="AL957">
        <v>0</v>
      </c>
      <c r="AM957">
        <v>0</v>
      </c>
      <c r="AN957">
        <v>0</v>
      </c>
      <c r="AO957">
        <v>0</v>
      </c>
      <c r="AP957">
        <v>700</v>
      </c>
      <c r="AT957" t="str">
        <f t="shared" si="197"/>
        <v>9791137602113</v>
      </c>
      <c r="AV957" t="str">
        <f t="shared" si="198"/>
        <v>판타지 웹소설 &gt; 현대 판타지</v>
      </c>
    </row>
    <row r="958" spans="1:48" x14ac:dyDescent="0.4">
      <c r="A958">
        <v>2313011955</v>
      </c>
      <c r="B958">
        <v>2313012105</v>
      </c>
      <c r="C958" t="str">
        <f>T("갓 오브 블랙필드 151화")</f>
        <v>갓 오브 블랙필드 151화</v>
      </c>
      <c r="D958" t="str">
        <f>T("151")</f>
        <v>151</v>
      </c>
      <c r="E958" t="str">
        <f t="shared" si="195"/>
        <v>무장</v>
      </c>
      <c r="H958" t="str">
        <f t="shared" si="200"/>
        <v>스토리위즈</v>
      </c>
      <c r="I958" t="str">
        <f t="shared" si="196"/>
        <v>갓 오브 블랙필드</v>
      </c>
      <c r="J958">
        <v>100</v>
      </c>
      <c r="K958">
        <v>1000</v>
      </c>
      <c r="L958">
        <v>10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1000</v>
      </c>
      <c r="AH958">
        <v>10</v>
      </c>
      <c r="AI958">
        <v>0</v>
      </c>
      <c r="AJ958">
        <v>0</v>
      </c>
      <c r="AK958">
        <v>1000</v>
      </c>
      <c r="AL958">
        <v>0</v>
      </c>
      <c r="AM958">
        <v>0</v>
      </c>
      <c r="AN958">
        <v>0</v>
      </c>
      <c r="AO958">
        <v>0</v>
      </c>
      <c r="AP958">
        <v>700</v>
      </c>
      <c r="AT958" t="str">
        <f t="shared" si="197"/>
        <v>9791137602113</v>
      </c>
      <c r="AV958" t="str">
        <f t="shared" si="198"/>
        <v>판타지 웹소설 &gt; 현대 판타지</v>
      </c>
    </row>
    <row r="959" spans="1:48" x14ac:dyDescent="0.4">
      <c r="A959">
        <v>2313011955</v>
      </c>
      <c r="B959">
        <v>2313012106</v>
      </c>
      <c r="C959" t="str">
        <f>T("갓 오브 블랙필드 152화")</f>
        <v>갓 오브 블랙필드 152화</v>
      </c>
      <c r="D959" t="str">
        <f>T("152")</f>
        <v>152</v>
      </c>
      <c r="E959" t="str">
        <f t="shared" si="195"/>
        <v>무장</v>
      </c>
      <c r="H959" t="str">
        <f t="shared" si="200"/>
        <v>스토리위즈</v>
      </c>
      <c r="I959" t="str">
        <f t="shared" si="196"/>
        <v>갓 오브 블랙필드</v>
      </c>
      <c r="J959">
        <v>100</v>
      </c>
      <c r="K959">
        <v>1000</v>
      </c>
      <c r="L959">
        <v>10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1000</v>
      </c>
      <c r="AH959">
        <v>10</v>
      </c>
      <c r="AI959">
        <v>0</v>
      </c>
      <c r="AJ959">
        <v>0</v>
      </c>
      <c r="AK959">
        <v>1000</v>
      </c>
      <c r="AL959">
        <v>0</v>
      </c>
      <c r="AM959">
        <v>0</v>
      </c>
      <c r="AN959">
        <v>0</v>
      </c>
      <c r="AO959">
        <v>0</v>
      </c>
      <c r="AP959">
        <v>700</v>
      </c>
      <c r="AT959" t="str">
        <f t="shared" si="197"/>
        <v>9791137602113</v>
      </c>
      <c r="AV959" t="str">
        <f t="shared" si="198"/>
        <v>판타지 웹소설 &gt; 현대 판타지</v>
      </c>
    </row>
    <row r="960" spans="1:48" x14ac:dyDescent="0.4">
      <c r="A960">
        <v>2313011955</v>
      </c>
      <c r="B960">
        <v>2313012122</v>
      </c>
      <c r="C960" t="str">
        <f>T("갓 오브 블랙필드 168화")</f>
        <v>갓 오브 블랙필드 168화</v>
      </c>
      <c r="D960" t="str">
        <f>T("168")</f>
        <v>168</v>
      </c>
      <c r="E960" t="str">
        <f t="shared" si="195"/>
        <v>무장</v>
      </c>
      <c r="H960" t="str">
        <f t="shared" si="200"/>
        <v>스토리위즈</v>
      </c>
      <c r="I960" t="str">
        <f t="shared" si="196"/>
        <v>갓 오브 블랙필드</v>
      </c>
      <c r="J960">
        <v>100</v>
      </c>
      <c r="K960">
        <v>1000</v>
      </c>
      <c r="L960">
        <v>10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1000</v>
      </c>
      <c r="AH960">
        <v>10</v>
      </c>
      <c r="AI960">
        <v>0</v>
      </c>
      <c r="AJ960">
        <v>0</v>
      </c>
      <c r="AK960">
        <v>1000</v>
      </c>
      <c r="AL960">
        <v>0</v>
      </c>
      <c r="AM960">
        <v>0</v>
      </c>
      <c r="AN960">
        <v>0</v>
      </c>
      <c r="AO960">
        <v>0</v>
      </c>
      <c r="AP960">
        <v>700</v>
      </c>
      <c r="AT960" t="str">
        <f t="shared" si="197"/>
        <v>9791137602113</v>
      </c>
      <c r="AV960" t="str">
        <f t="shared" si="198"/>
        <v>판타지 웹소설 &gt; 현대 판타지</v>
      </c>
    </row>
    <row r="961" spans="1:49" x14ac:dyDescent="0.4">
      <c r="A961">
        <v>2313012849</v>
      </c>
      <c r="B961">
        <v>2313012945</v>
      </c>
      <c r="C961" t="str">
        <f>T("디버프 마스터 97화")</f>
        <v>디버프 마스터 97화</v>
      </c>
      <c r="D961" t="str">
        <f>T("97")</f>
        <v>97</v>
      </c>
      <c r="E961" t="str">
        <f t="shared" ref="E961:E971" si="201">T("담화공")</f>
        <v>담화공</v>
      </c>
      <c r="H961" t="str">
        <f t="shared" si="200"/>
        <v>스토리위즈</v>
      </c>
      <c r="I961" t="str">
        <f t="shared" ref="I961:I971" si="202">T("디버프 마스터")</f>
        <v>디버프 마스터</v>
      </c>
      <c r="J961">
        <v>100</v>
      </c>
      <c r="K961">
        <v>1000</v>
      </c>
      <c r="L961">
        <v>10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1000</v>
      </c>
      <c r="AH961">
        <v>10</v>
      </c>
      <c r="AI961">
        <v>0</v>
      </c>
      <c r="AJ961">
        <v>0</v>
      </c>
      <c r="AK961">
        <v>900</v>
      </c>
      <c r="AL961">
        <v>0</v>
      </c>
      <c r="AM961">
        <v>119.05</v>
      </c>
      <c r="AN961">
        <v>-35.72</v>
      </c>
      <c r="AO961">
        <v>0</v>
      </c>
      <c r="AP961">
        <v>688.33</v>
      </c>
      <c r="AT961" t="str">
        <f t="shared" ref="AT961:AT971" si="203">T("9791137602663")</f>
        <v>9791137602663</v>
      </c>
      <c r="AV961" t="str">
        <f t="shared" ref="AV961:AV971" si="204">T("판타지 웹소설 &gt; 퓨전 판타지")</f>
        <v>판타지 웹소설 &gt; 퓨전 판타지</v>
      </c>
    </row>
    <row r="962" spans="1:49" x14ac:dyDescent="0.4">
      <c r="A962">
        <v>2313012849</v>
      </c>
      <c r="B962">
        <v>2313012947</v>
      </c>
      <c r="C962" t="str">
        <f>T("디버프 마스터 99화")</f>
        <v>디버프 마스터 99화</v>
      </c>
      <c r="D962" t="str">
        <f>T("99")</f>
        <v>99</v>
      </c>
      <c r="E962" t="str">
        <f t="shared" si="201"/>
        <v>담화공</v>
      </c>
      <c r="H962" t="str">
        <f t="shared" si="200"/>
        <v>스토리위즈</v>
      </c>
      <c r="I962" t="str">
        <f t="shared" si="202"/>
        <v>디버프 마스터</v>
      </c>
      <c r="J962">
        <v>100</v>
      </c>
      <c r="K962">
        <v>1000</v>
      </c>
      <c r="L962">
        <v>10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1000</v>
      </c>
      <c r="AH962">
        <v>10</v>
      </c>
      <c r="AI962">
        <v>0</v>
      </c>
      <c r="AJ962">
        <v>0</v>
      </c>
      <c r="AK962">
        <v>900</v>
      </c>
      <c r="AL962">
        <v>0</v>
      </c>
      <c r="AM962">
        <v>119.05</v>
      </c>
      <c r="AN962">
        <v>-35.72</v>
      </c>
      <c r="AO962">
        <v>0</v>
      </c>
      <c r="AP962">
        <v>688.33</v>
      </c>
      <c r="AT962" t="str">
        <f t="shared" si="203"/>
        <v>9791137602663</v>
      </c>
      <c r="AV962" t="str">
        <f t="shared" si="204"/>
        <v>판타지 웹소설 &gt; 퓨전 판타지</v>
      </c>
    </row>
    <row r="963" spans="1:49" x14ac:dyDescent="0.4">
      <c r="A963">
        <v>2313012849</v>
      </c>
      <c r="B963">
        <v>2313012957</v>
      </c>
      <c r="C963" t="str">
        <f>T("디버프 마스터 109화")</f>
        <v>디버프 마스터 109화</v>
      </c>
      <c r="D963" t="str">
        <f>T("109")</f>
        <v>109</v>
      </c>
      <c r="E963" t="str">
        <f t="shared" si="201"/>
        <v>담화공</v>
      </c>
      <c r="H963" t="str">
        <f t="shared" si="200"/>
        <v>스토리위즈</v>
      </c>
      <c r="I963" t="str">
        <f t="shared" si="202"/>
        <v>디버프 마스터</v>
      </c>
      <c r="J963">
        <v>100</v>
      </c>
      <c r="K963">
        <v>1000</v>
      </c>
      <c r="L963">
        <v>10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1000</v>
      </c>
      <c r="AH963">
        <v>10</v>
      </c>
      <c r="AI963">
        <v>0</v>
      </c>
      <c r="AJ963">
        <v>0</v>
      </c>
      <c r="AK963">
        <v>900</v>
      </c>
      <c r="AL963">
        <v>0</v>
      </c>
      <c r="AM963">
        <v>119.05</v>
      </c>
      <c r="AN963">
        <v>-35.72</v>
      </c>
      <c r="AO963">
        <v>0</v>
      </c>
      <c r="AP963">
        <v>688.33</v>
      </c>
      <c r="AT963" t="str">
        <f t="shared" si="203"/>
        <v>9791137602663</v>
      </c>
      <c r="AV963" t="str">
        <f t="shared" si="204"/>
        <v>판타지 웹소설 &gt; 퓨전 판타지</v>
      </c>
    </row>
    <row r="964" spans="1:49" x14ac:dyDescent="0.4">
      <c r="A964">
        <v>2313012849</v>
      </c>
      <c r="B964">
        <v>2313012958</v>
      </c>
      <c r="C964" t="str">
        <f>T("디버프 마스터 110화")</f>
        <v>디버프 마스터 110화</v>
      </c>
      <c r="D964" t="str">
        <f>T("110")</f>
        <v>110</v>
      </c>
      <c r="E964" t="str">
        <f t="shared" si="201"/>
        <v>담화공</v>
      </c>
      <c r="H964" t="str">
        <f t="shared" si="200"/>
        <v>스토리위즈</v>
      </c>
      <c r="I964" t="str">
        <f t="shared" si="202"/>
        <v>디버프 마스터</v>
      </c>
      <c r="J964">
        <v>100</v>
      </c>
      <c r="K964">
        <v>1000</v>
      </c>
      <c r="L964">
        <v>10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1000</v>
      </c>
      <c r="AH964">
        <v>10</v>
      </c>
      <c r="AI964">
        <v>0</v>
      </c>
      <c r="AJ964">
        <v>0</v>
      </c>
      <c r="AK964">
        <v>900</v>
      </c>
      <c r="AL964">
        <v>0</v>
      </c>
      <c r="AM964">
        <v>119.05</v>
      </c>
      <c r="AN964">
        <v>-35.72</v>
      </c>
      <c r="AO964">
        <v>0</v>
      </c>
      <c r="AP964">
        <v>688.33</v>
      </c>
      <c r="AT964" t="str">
        <f t="shared" si="203"/>
        <v>9791137602663</v>
      </c>
      <c r="AV964" t="str">
        <f t="shared" si="204"/>
        <v>판타지 웹소설 &gt; 퓨전 판타지</v>
      </c>
    </row>
    <row r="965" spans="1:49" x14ac:dyDescent="0.4">
      <c r="A965">
        <v>2313012849</v>
      </c>
      <c r="B965">
        <v>2313012959</v>
      </c>
      <c r="C965" t="str">
        <f>T("디버프 마스터 111화")</f>
        <v>디버프 마스터 111화</v>
      </c>
      <c r="D965" t="str">
        <f>T("111")</f>
        <v>111</v>
      </c>
      <c r="E965" t="str">
        <f t="shared" si="201"/>
        <v>담화공</v>
      </c>
      <c r="H965" t="str">
        <f t="shared" si="200"/>
        <v>스토리위즈</v>
      </c>
      <c r="I965" t="str">
        <f t="shared" si="202"/>
        <v>디버프 마스터</v>
      </c>
      <c r="J965">
        <v>100</v>
      </c>
      <c r="K965">
        <v>1000</v>
      </c>
      <c r="L965">
        <v>10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1000</v>
      </c>
      <c r="AH965">
        <v>10</v>
      </c>
      <c r="AI965">
        <v>0</v>
      </c>
      <c r="AJ965">
        <v>0</v>
      </c>
      <c r="AK965">
        <v>900</v>
      </c>
      <c r="AL965">
        <v>0</v>
      </c>
      <c r="AM965">
        <v>119.05</v>
      </c>
      <c r="AN965">
        <v>-35.72</v>
      </c>
      <c r="AO965">
        <v>0</v>
      </c>
      <c r="AP965">
        <v>688.33</v>
      </c>
      <c r="AT965" t="str">
        <f t="shared" si="203"/>
        <v>9791137602663</v>
      </c>
      <c r="AV965" t="str">
        <f t="shared" si="204"/>
        <v>판타지 웹소설 &gt; 퓨전 판타지</v>
      </c>
    </row>
    <row r="966" spans="1:49" x14ac:dyDescent="0.4">
      <c r="A966">
        <v>2313012849</v>
      </c>
      <c r="B966">
        <v>2313012960</v>
      </c>
      <c r="C966" t="str">
        <f>T("디버프 마스터 112화")</f>
        <v>디버프 마스터 112화</v>
      </c>
      <c r="D966" t="str">
        <f>T("112")</f>
        <v>112</v>
      </c>
      <c r="E966" t="str">
        <f t="shared" si="201"/>
        <v>담화공</v>
      </c>
      <c r="H966" t="str">
        <f t="shared" si="200"/>
        <v>스토리위즈</v>
      </c>
      <c r="I966" t="str">
        <f t="shared" si="202"/>
        <v>디버프 마스터</v>
      </c>
      <c r="J966">
        <v>100</v>
      </c>
      <c r="K966">
        <v>1000</v>
      </c>
      <c r="L966">
        <v>10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1000</v>
      </c>
      <c r="AH966">
        <v>10</v>
      </c>
      <c r="AI966">
        <v>0</v>
      </c>
      <c r="AJ966">
        <v>0</v>
      </c>
      <c r="AK966">
        <v>900</v>
      </c>
      <c r="AL966">
        <v>0</v>
      </c>
      <c r="AM966">
        <v>119.05</v>
      </c>
      <c r="AN966">
        <v>-35.72</v>
      </c>
      <c r="AO966">
        <v>0</v>
      </c>
      <c r="AP966">
        <v>688.33</v>
      </c>
      <c r="AT966" t="str">
        <f t="shared" si="203"/>
        <v>9791137602663</v>
      </c>
      <c r="AV966" t="str">
        <f t="shared" si="204"/>
        <v>판타지 웹소설 &gt; 퓨전 판타지</v>
      </c>
    </row>
    <row r="967" spans="1:49" x14ac:dyDescent="0.4">
      <c r="A967">
        <v>2313012849</v>
      </c>
      <c r="B967">
        <v>2313012961</v>
      </c>
      <c r="C967" t="str">
        <f>T("디버프 마스터 113화")</f>
        <v>디버프 마스터 113화</v>
      </c>
      <c r="D967" t="str">
        <f>T("113")</f>
        <v>113</v>
      </c>
      <c r="E967" t="str">
        <f t="shared" si="201"/>
        <v>담화공</v>
      </c>
      <c r="H967" t="str">
        <f t="shared" si="200"/>
        <v>스토리위즈</v>
      </c>
      <c r="I967" t="str">
        <f t="shared" si="202"/>
        <v>디버프 마스터</v>
      </c>
      <c r="J967">
        <v>100</v>
      </c>
      <c r="K967">
        <v>1000</v>
      </c>
      <c r="L967">
        <v>10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1000</v>
      </c>
      <c r="AH967">
        <v>10</v>
      </c>
      <c r="AI967">
        <v>0</v>
      </c>
      <c r="AJ967">
        <v>0</v>
      </c>
      <c r="AK967">
        <v>900</v>
      </c>
      <c r="AL967">
        <v>0</v>
      </c>
      <c r="AM967">
        <v>119.05</v>
      </c>
      <c r="AN967">
        <v>-35.72</v>
      </c>
      <c r="AO967">
        <v>0</v>
      </c>
      <c r="AP967">
        <v>688.33</v>
      </c>
      <c r="AT967" t="str">
        <f t="shared" si="203"/>
        <v>9791137602663</v>
      </c>
      <c r="AV967" t="str">
        <f t="shared" si="204"/>
        <v>판타지 웹소설 &gt; 퓨전 판타지</v>
      </c>
    </row>
    <row r="968" spans="1:49" x14ac:dyDescent="0.4">
      <c r="A968">
        <v>2313012849</v>
      </c>
      <c r="B968">
        <v>2313012962</v>
      </c>
      <c r="C968" t="str">
        <f>T("디버프 마스터 114화")</f>
        <v>디버프 마스터 114화</v>
      </c>
      <c r="D968" t="str">
        <f>T("114")</f>
        <v>114</v>
      </c>
      <c r="E968" t="str">
        <f t="shared" si="201"/>
        <v>담화공</v>
      </c>
      <c r="H968" t="str">
        <f t="shared" si="200"/>
        <v>스토리위즈</v>
      </c>
      <c r="I968" t="str">
        <f t="shared" si="202"/>
        <v>디버프 마스터</v>
      </c>
      <c r="J968">
        <v>100</v>
      </c>
      <c r="K968">
        <v>1000</v>
      </c>
      <c r="L968">
        <v>10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1000</v>
      </c>
      <c r="AH968">
        <v>10</v>
      </c>
      <c r="AI968">
        <v>0</v>
      </c>
      <c r="AJ968">
        <v>0</v>
      </c>
      <c r="AK968">
        <v>900</v>
      </c>
      <c r="AL968">
        <v>0</v>
      </c>
      <c r="AM968">
        <v>119.05</v>
      </c>
      <c r="AN968">
        <v>-35.72</v>
      </c>
      <c r="AO968">
        <v>0</v>
      </c>
      <c r="AP968">
        <v>688.33</v>
      </c>
      <c r="AT968" t="str">
        <f t="shared" si="203"/>
        <v>9791137602663</v>
      </c>
      <c r="AV968" t="str">
        <f t="shared" si="204"/>
        <v>판타지 웹소설 &gt; 퓨전 판타지</v>
      </c>
    </row>
    <row r="969" spans="1:49" x14ac:dyDescent="0.4">
      <c r="A969">
        <v>2313012849</v>
      </c>
      <c r="B969">
        <v>2313012963</v>
      </c>
      <c r="C969" t="str">
        <f>T("디버프 마스터 115화")</f>
        <v>디버프 마스터 115화</v>
      </c>
      <c r="D969" t="str">
        <f>T("115")</f>
        <v>115</v>
      </c>
      <c r="E969" t="str">
        <f t="shared" si="201"/>
        <v>담화공</v>
      </c>
      <c r="H969" t="str">
        <f t="shared" si="200"/>
        <v>스토리위즈</v>
      </c>
      <c r="I969" t="str">
        <f t="shared" si="202"/>
        <v>디버프 마스터</v>
      </c>
      <c r="J969">
        <v>100</v>
      </c>
      <c r="K969">
        <v>1000</v>
      </c>
      <c r="L969">
        <v>10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1000</v>
      </c>
      <c r="AH969">
        <v>10</v>
      </c>
      <c r="AI969">
        <v>0</v>
      </c>
      <c r="AJ969">
        <v>0</v>
      </c>
      <c r="AK969">
        <v>900</v>
      </c>
      <c r="AL969">
        <v>0</v>
      </c>
      <c r="AM969">
        <v>119.05</v>
      </c>
      <c r="AN969">
        <v>-35.72</v>
      </c>
      <c r="AO969">
        <v>0</v>
      </c>
      <c r="AP969">
        <v>688.33</v>
      </c>
      <c r="AT969" t="str">
        <f t="shared" si="203"/>
        <v>9791137602663</v>
      </c>
      <c r="AV969" t="str">
        <f t="shared" si="204"/>
        <v>판타지 웹소설 &gt; 퓨전 판타지</v>
      </c>
    </row>
    <row r="970" spans="1:49" x14ac:dyDescent="0.4">
      <c r="A970">
        <v>2313012849</v>
      </c>
      <c r="B970">
        <v>2313012964</v>
      </c>
      <c r="C970" t="str">
        <f>T("디버프 마스터 116화")</f>
        <v>디버프 마스터 116화</v>
      </c>
      <c r="D970" t="str">
        <f>T("116")</f>
        <v>116</v>
      </c>
      <c r="E970" t="str">
        <f t="shared" si="201"/>
        <v>담화공</v>
      </c>
      <c r="H970" t="str">
        <f t="shared" si="200"/>
        <v>스토리위즈</v>
      </c>
      <c r="I970" t="str">
        <f t="shared" si="202"/>
        <v>디버프 마스터</v>
      </c>
      <c r="J970">
        <v>100</v>
      </c>
      <c r="K970">
        <v>1000</v>
      </c>
      <c r="L970">
        <v>10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1000</v>
      </c>
      <c r="AH970">
        <v>10</v>
      </c>
      <c r="AI970">
        <v>0</v>
      </c>
      <c r="AJ970">
        <v>0</v>
      </c>
      <c r="AK970">
        <v>900</v>
      </c>
      <c r="AL970">
        <v>0</v>
      </c>
      <c r="AM970">
        <v>119.05</v>
      </c>
      <c r="AN970">
        <v>-35.72</v>
      </c>
      <c r="AO970">
        <v>0</v>
      </c>
      <c r="AP970">
        <v>688.33</v>
      </c>
      <c r="AT970" t="str">
        <f t="shared" si="203"/>
        <v>9791137602663</v>
      </c>
      <c r="AV970" t="str">
        <f t="shared" si="204"/>
        <v>판타지 웹소설 &gt; 퓨전 판타지</v>
      </c>
    </row>
    <row r="971" spans="1:49" x14ac:dyDescent="0.4">
      <c r="A971">
        <v>2313012849</v>
      </c>
      <c r="B971">
        <v>2313012965</v>
      </c>
      <c r="C971" t="str">
        <f>T("디버프 마스터 117화")</f>
        <v>디버프 마스터 117화</v>
      </c>
      <c r="D971" t="str">
        <f>T("117")</f>
        <v>117</v>
      </c>
      <c r="E971" t="str">
        <f t="shared" si="201"/>
        <v>담화공</v>
      </c>
      <c r="H971" t="str">
        <f t="shared" si="200"/>
        <v>스토리위즈</v>
      </c>
      <c r="I971" t="str">
        <f t="shared" si="202"/>
        <v>디버프 마스터</v>
      </c>
      <c r="J971">
        <v>100</v>
      </c>
      <c r="K971">
        <v>1000</v>
      </c>
      <c r="L971">
        <v>10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1000</v>
      </c>
      <c r="AH971">
        <v>10</v>
      </c>
      <c r="AI971">
        <v>0</v>
      </c>
      <c r="AJ971">
        <v>0</v>
      </c>
      <c r="AK971">
        <v>900</v>
      </c>
      <c r="AL971">
        <v>0</v>
      </c>
      <c r="AM971">
        <v>119.05</v>
      </c>
      <c r="AN971">
        <v>-35.72</v>
      </c>
      <c r="AO971">
        <v>0</v>
      </c>
      <c r="AP971">
        <v>688.33</v>
      </c>
      <c r="AT971" t="str">
        <f t="shared" si="203"/>
        <v>9791137602663</v>
      </c>
      <c r="AV971" t="str">
        <f t="shared" si="204"/>
        <v>판타지 웹소설 &gt; 퓨전 판타지</v>
      </c>
    </row>
    <row r="972" spans="1:49" x14ac:dyDescent="0.4">
      <c r="A972">
        <v>2313016983</v>
      </c>
      <c r="B972">
        <v>2313016933</v>
      </c>
      <c r="C972" t="str">
        <f>T("[e북]들이대지 마 (외전)")</f>
        <v>[e북]들이대지 마 (외전)</v>
      </c>
      <c r="D972" t="str">
        <f>T("3")</f>
        <v>3</v>
      </c>
      <c r="E972" t="str">
        <f>T("모리미")</f>
        <v>모리미</v>
      </c>
      <c r="H972" t="str">
        <f>T("도서출판 태랑")</f>
        <v>도서출판 태랑</v>
      </c>
      <c r="I972" t="str">
        <f>T("[e북]들이대지 마")</f>
        <v>[e북]들이대지 마</v>
      </c>
      <c r="J972">
        <v>1000</v>
      </c>
      <c r="K972">
        <v>1000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1000</v>
      </c>
      <c r="AH972">
        <v>1</v>
      </c>
      <c r="AI972">
        <v>0</v>
      </c>
      <c r="AJ972">
        <v>0</v>
      </c>
      <c r="AK972">
        <v>1000</v>
      </c>
      <c r="AL972">
        <v>0</v>
      </c>
      <c r="AM972">
        <v>0</v>
      </c>
      <c r="AN972">
        <v>0</v>
      </c>
      <c r="AO972">
        <v>0</v>
      </c>
      <c r="AP972">
        <v>700</v>
      </c>
      <c r="AT972" t="str">
        <f>T("9791164373147")</f>
        <v>9791164373147</v>
      </c>
      <c r="AV972" t="str">
        <f>T("BL 소설 e북 &gt; 현대물")</f>
        <v>BL 소설 e북 &gt; 현대물</v>
      </c>
    </row>
    <row r="973" spans="1:49" x14ac:dyDescent="0.4">
      <c r="A973">
        <v>2313016953</v>
      </c>
      <c r="B973">
        <v>2313016951</v>
      </c>
      <c r="C973" t="str">
        <f>T("[e북]내 남편의 열렬한 구애 (외전증보판) (외전)")</f>
        <v>[e북]내 남편의 열렬한 구애 (외전증보판) (외전)</v>
      </c>
      <c r="D973" t="str">
        <f>T("3")</f>
        <v>3</v>
      </c>
      <c r="E973" t="str">
        <f>T("아이리스")</f>
        <v>아이리스</v>
      </c>
      <c r="H973" t="str">
        <f>T("도서출판 태랑")</f>
        <v>도서출판 태랑</v>
      </c>
      <c r="I973" t="str">
        <f>T("[e북]내 남편의 열렬한 구애 (외전증보판)")</f>
        <v>[e북]내 남편의 열렬한 구애 (외전증보판)</v>
      </c>
      <c r="J973">
        <v>1000</v>
      </c>
      <c r="K973">
        <v>1000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1000</v>
      </c>
      <c r="AH973">
        <v>1</v>
      </c>
      <c r="AI973">
        <v>0</v>
      </c>
      <c r="AJ973">
        <v>0</v>
      </c>
      <c r="AK973">
        <v>1000</v>
      </c>
      <c r="AL973">
        <v>0</v>
      </c>
      <c r="AM973">
        <v>0</v>
      </c>
      <c r="AN973">
        <v>0</v>
      </c>
      <c r="AO973">
        <v>0</v>
      </c>
      <c r="AP973">
        <v>700</v>
      </c>
      <c r="AT973" t="str">
        <f>T("9791164372928")</f>
        <v>9791164372928</v>
      </c>
      <c r="AV973" t="str">
        <f>T("로맨스 e북 &gt; 현대물")</f>
        <v>로맨스 e북 &gt; 현대물</v>
      </c>
    </row>
    <row r="974" spans="1:49" x14ac:dyDescent="0.4">
      <c r="A974">
        <v>2313017077</v>
      </c>
      <c r="B974">
        <v>2313017074</v>
      </c>
      <c r="C974" t="str">
        <f>T("[e북]내 사랑 스토커 (외전)")</f>
        <v>[e북]내 사랑 스토커 (외전)</v>
      </c>
      <c r="D974" t="str">
        <f>T("4")</f>
        <v>4</v>
      </c>
      <c r="E974" t="str">
        <f>T("디버스 대도서관")</f>
        <v>디버스 대도서관</v>
      </c>
      <c r="H974" t="str">
        <f>T("도서출판 태랑")</f>
        <v>도서출판 태랑</v>
      </c>
      <c r="I974" t="str">
        <f>T("[e북]내 사랑 스토커 (외전증보판)")</f>
        <v>[e북]내 사랑 스토커 (외전증보판)</v>
      </c>
      <c r="J974">
        <v>500</v>
      </c>
      <c r="K974">
        <v>1000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1000</v>
      </c>
      <c r="AH974">
        <v>2</v>
      </c>
      <c r="AI974">
        <v>0</v>
      </c>
      <c r="AJ974">
        <v>0</v>
      </c>
      <c r="AK974">
        <v>1000</v>
      </c>
      <c r="AL974">
        <v>0</v>
      </c>
      <c r="AM974">
        <v>0</v>
      </c>
      <c r="AN974">
        <v>0</v>
      </c>
      <c r="AO974">
        <v>0</v>
      </c>
      <c r="AP974">
        <v>700</v>
      </c>
      <c r="AT974" t="str">
        <f>T("9791164370528")</f>
        <v>9791164370528</v>
      </c>
      <c r="AV974" t="str">
        <f>T("로맨스 e북 &gt; 현대물")</f>
        <v>로맨스 e북 &gt; 현대물</v>
      </c>
    </row>
    <row r="975" spans="1:49" x14ac:dyDescent="0.4">
      <c r="A975">
        <v>2313017145</v>
      </c>
      <c r="B975">
        <v>2313017124</v>
      </c>
      <c r="C975" t="str">
        <f>T("[e북]그땐 미처 (외전)")</f>
        <v>[e북]그땐 미처 (외전)</v>
      </c>
      <c r="D975" t="str">
        <f>T("2")</f>
        <v>2</v>
      </c>
      <c r="E975" t="str">
        <f>T("셔틀")</f>
        <v>셔틀</v>
      </c>
      <c r="H975" t="str">
        <f>T("도서출판 태랑")</f>
        <v>도서출판 태랑</v>
      </c>
      <c r="I975" t="str">
        <f>T("[e북]그땐 미처")</f>
        <v>[e북]그땐 미처</v>
      </c>
      <c r="J975">
        <v>500</v>
      </c>
      <c r="K975">
        <v>1000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1000</v>
      </c>
      <c r="AH975">
        <v>2</v>
      </c>
      <c r="AI975">
        <v>0</v>
      </c>
      <c r="AJ975">
        <v>0</v>
      </c>
      <c r="AK975">
        <v>1000</v>
      </c>
      <c r="AL975">
        <v>0</v>
      </c>
      <c r="AM975">
        <v>0</v>
      </c>
      <c r="AN975">
        <v>0</v>
      </c>
      <c r="AO975">
        <v>0</v>
      </c>
      <c r="AP975">
        <v>700</v>
      </c>
      <c r="AT975" t="str">
        <f>T("9791189084820")</f>
        <v>9791189084820</v>
      </c>
      <c r="AV975" t="str">
        <f>T("로맨스 e북 &gt; 현대물")</f>
        <v>로맨스 e북 &gt; 현대물</v>
      </c>
      <c r="AW975" t="str">
        <f>T("로맨스 e북 &gt; 19+")</f>
        <v>로맨스 e북 &gt; 19+</v>
      </c>
    </row>
    <row r="976" spans="1:49" x14ac:dyDescent="0.4">
      <c r="A976">
        <v>2313017657</v>
      </c>
      <c r="B976">
        <v>2313017792</v>
      </c>
      <c r="C976" t="str">
        <f>T("회귀자의 슬기로운 복수생활 136화")</f>
        <v>회귀자의 슬기로운 복수생활 136화</v>
      </c>
      <c r="D976" t="str">
        <f>T("136")</f>
        <v>136</v>
      </c>
      <c r="E976" t="str">
        <f t="shared" ref="E976:E995" si="205">T("구공")</f>
        <v>구공</v>
      </c>
      <c r="H976" t="str">
        <f t="shared" ref="H976:H1039" si="206">T("스토리위즈")</f>
        <v>스토리위즈</v>
      </c>
      <c r="I976" t="str">
        <f t="shared" ref="I976:I995" si="207">T("회귀자의 슬기로운 복수생활")</f>
        <v>회귀자의 슬기로운 복수생활</v>
      </c>
      <c r="J976">
        <v>100</v>
      </c>
      <c r="K976">
        <v>1000</v>
      </c>
      <c r="L976">
        <v>10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1000</v>
      </c>
      <c r="AH976">
        <v>10</v>
      </c>
      <c r="AI976">
        <v>0</v>
      </c>
      <c r="AJ976">
        <v>0</v>
      </c>
      <c r="AK976">
        <v>1000</v>
      </c>
      <c r="AL976">
        <v>0</v>
      </c>
      <c r="AM976">
        <v>0</v>
      </c>
      <c r="AN976">
        <v>0</v>
      </c>
      <c r="AO976">
        <v>0</v>
      </c>
      <c r="AP976">
        <v>700</v>
      </c>
      <c r="AT976" t="str">
        <f t="shared" ref="AT976:AT995" si="208">T("9791137601710")</f>
        <v>9791137601710</v>
      </c>
      <c r="AV976" t="str">
        <f t="shared" ref="AV976:AV1030" si="209">T("판타지 웹소설 &gt; 퓨전 판타지")</f>
        <v>판타지 웹소설 &gt; 퓨전 판타지</v>
      </c>
    </row>
    <row r="977" spans="1:48" x14ac:dyDescent="0.4">
      <c r="A977">
        <v>2313017657</v>
      </c>
      <c r="B977">
        <v>2313017793</v>
      </c>
      <c r="C977" t="str">
        <f>T("회귀자의 슬기로운 복수생활 137화")</f>
        <v>회귀자의 슬기로운 복수생활 137화</v>
      </c>
      <c r="D977" t="str">
        <f>T("137")</f>
        <v>137</v>
      </c>
      <c r="E977" t="str">
        <f t="shared" si="205"/>
        <v>구공</v>
      </c>
      <c r="H977" t="str">
        <f t="shared" si="206"/>
        <v>스토리위즈</v>
      </c>
      <c r="I977" t="str">
        <f t="shared" si="207"/>
        <v>회귀자의 슬기로운 복수생활</v>
      </c>
      <c r="J977">
        <v>100</v>
      </c>
      <c r="K977">
        <v>1000</v>
      </c>
      <c r="L977">
        <v>10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1000</v>
      </c>
      <c r="AH977">
        <v>10</v>
      </c>
      <c r="AI977">
        <v>0</v>
      </c>
      <c r="AJ977">
        <v>0</v>
      </c>
      <c r="AK977">
        <v>1000</v>
      </c>
      <c r="AL977">
        <v>0</v>
      </c>
      <c r="AM977">
        <v>0</v>
      </c>
      <c r="AN977">
        <v>0</v>
      </c>
      <c r="AO977">
        <v>0</v>
      </c>
      <c r="AP977">
        <v>700</v>
      </c>
      <c r="AT977" t="str">
        <f t="shared" si="208"/>
        <v>9791137601710</v>
      </c>
      <c r="AV977" t="str">
        <f t="shared" si="209"/>
        <v>판타지 웹소설 &gt; 퓨전 판타지</v>
      </c>
    </row>
    <row r="978" spans="1:48" x14ac:dyDescent="0.4">
      <c r="A978">
        <v>2313017657</v>
      </c>
      <c r="B978">
        <v>2313017794</v>
      </c>
      <c r="C978" t="str">
        <f>T("회귀자의 슬기로운 복수생활 138화")</f>
        <v>회귀자의 슬기로운 복수생활 138화</v>
      </c>
      <c r="D978" t="str">
        <f>T("138")</f>
        <v>138</v>
      </c>
      <c r="E978" t="str">
        <f t="shared" si="205"/>
        <v>구공</v>
      </c>
      <c r="H978" t="str">
        <f t="shared" si="206"/>
        <v>스토리위즈</v>
      </c>
      <c r="I978" t="str">
        <f t="shared" si="207"/>
        <v>회귀자의 슬기로운 복수생활</v>
      </c>
      <c r="J978">
        <v>100</v>
      </c>
      <c r="K978">
        <v>1000</v>
      </c>
      <c r="L978">
        <v>10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1000</v>
      </c>
      <c r="AH978">
        <v>10</v>
      </c>
      <c r="AI978">
        <v>0</v>
      </c>
      <c r="AJ978">
        <v>0</v>
      </c>
      <c r="AK978">
        <v>1000</v>
      </c>
      <c r="AL978">
        <v>0</v>
      </c>
      <c r="AM978">
        <v>0</v>
      </c>
      <c r="AN978">
        <v>0</v>
      </c>
      <c r="AO978">
        <v>0</v>
      </c>
      <c r="AP978">
        <v>700</v>
      </c>
      <c r="AT978" t="str">
        <f t="shared" si="208"/>
        <v>9791137601710</v>
      </c>
      <c r="AV978" t="str">
        <f t="shared" si="209"/>
        <v>판타지 웹소설 &gt; 퓨전 판타지</v>
      </c>
    </row>
    <row r="979" spans="1:48" x14ac:dyDescent="0.4">
      <c r="A979">
        <v>2313017657</v>
      </c>
      <c r="B979">
        <v>2313017795</v>
      </c>
      <c r="C979" t="str">
        <f>T("회귀자의 슬기로운 복수생활 139화")</f>
        <v>회귀자의 슬기로운 복수생활 139화</v>
      </c>
      <c r="D979" t="str">
        <f>T("139")</f>
        <v>139</v>
      </c>
      <c r="E979" t="str">
        <f t="shared" si="205"/>
        <v>구공</v>
      </c>
      <c r="H979" t="str">
        <f t="shared" si="206"/>
        <v>스토리위즈</v>
      </c>
      <c r="I979" t="str">
        <f t="shared" si="207"/>
        <v>회귀자의 슬기로운 복수생활</v>
      </c>
      <c r="J979">
        <v>100</v>
      </c>
      <c r="K979">
        <v>1000</v>
      </c>
      <c r="L979">
        <v>10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1000</v>
      </c>
      <c r="AH979">
        <v>10</v>
      </c>
      <c r="AI979">
        <v>0</v>
      </c>
      <c r="AJ979">
        <v>0</v>
      </c>
      <c r="AK979">
        <v>1000</v>
      </c>
      <c r="AL979">
        <v>0</v>
      </c>
      <c r="AM979">
        <v>0</v>
      </c>
      <c r="AN979">
        <v>0</v>
      </c>
      <c r="AO979">
        <v>0</v>
      </c>
      <c r="AP979">
        <v>700</v>
      </c>
      <c r="AT979" t="str">
        <f t="shared" si="208"/>
        <v>9791137601710</v>
      </c>
      <c r="AV979" t="str">
        <f t="shared" si="209"/>
        <v>판타지 웹소설 &gt; 퓨전 판타지</v>
      </c>
    </row>
    <row r="980" spans="1:48" x14ac:dyDescent="0.4">
      <c r="A980">
        <v>2313017657</v>
      </c>
      <c r="B980">
        <v>2313017796</v>
      </c>
      <c r="C980" t="str">
        <f>T("회귀자의 슬기로운 복수생활 140화")</f>
        <v>회귀자의 슬기로운 복수생활 140화</v>
      </c>
      <c r="D980" t="str">
        <f>T("140")</f>
        <v>140</v>
      </c>
      <c r="E980" t="str">
        <f t="shared" si="205"/>
        <v>구공</v>
      </c>
      <c r="H980" t="str">
        <f t="shared" si="206"/>
        <v>스토리위즈</v>
      </c>
      <c r="I980" t="str">
        <f t="shared" si="207"/>
        <v>회귀자의 슬기로운 복수생활</v>
      </c>
      <c r="J980">
        <v>100</v>
      </c>
      <c r="K980">
        <v>1000</v>
      </c>
      <c r="L980">
        <v>10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1000</v>
      </c>
      <c r="AH980">
        <v>10</v>
      </c>
      <c r="AI980">
        <v>0</v>
      </c>
      <c r="AJ980">
        <v>0</v>
      </c>
      <c r="AK980">
        <v>1000</v>
      </c>
      <c r="AL980">
        <v>0</v>
      </c>
      <c r="AM980">
        <v>0</v>
      </c>
      <c r="AN980">
        <v>0</v>
      </c>
      <c r="AO980">
        <v>0</v>
      </c>
      <c r="AP980">
        <v>700</v>
      </c>
      <c r="AT980" t="str">
        <f t="shared" si="208"/>
        <v>9791137601710</v>
      </c>
      <c r="AV980" t="str">
        <f t="shared" si="209"/>
        <v>판타지 웹소설 &gt; 퓨전 판타지</v>
      </c>
    </row>
    <row r="981" spans="1:48" x14ac:dyDescent="0.4">
      <c r="A981">
        <v>2313017657</v>
      </c>
      <c r="B981">
        <v>2313017797</v>
      </c>
      <c r="C981" t="str">
        <f>T("회귀자의 슬기로운 복수생활 141화")</f>
        <v>회귀자의 슬기로운 복수생활 141화</v>
      </c>
      <c r="D981" t="str">
        <f>T("141")</f>
        <v>141</v>
      </c>
      <c r="E981" t="str">
        <f t="shared" si="205"/>
        <v>구공</v>
      </c>
      <c r="H981" t="str">
        <f t="shared" si="206"/>
        <v>스토리위즈</v>
      </c>
      <c r="I981" t="str">
        <f t="shared" si="207"/>
        <v>회귀자의 슬기로운 복수생활</v>
      </c>
      <c r="J981">
        <v>100</v>
      </c>
      <c r="K981">
        <v>1000</v>
      </c>
      <c r="L981">
        <v>10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1000</v>
      </c>
      <c r="AH981">
        <v>10</v>
      </c>
      <c r="AI981">
        <v>0</v>
      </c>
      <c r="AJ981">
        <v>0</v>
      </c>
      <c r="AK981">
        <v>1000</v>
      </c>
      <c r="AL981">
        <v>0</v>
      </c>
      <c r="AM981">
        <v>0</v>
      </c>
      <c r="AN981">
        <v>0</v>
      </c>
      <c r="AO981">
        <v>0</v>
      </c>
      <c r="AP981">
        <v>700</v>
      </c>
      <c r="AT981" t="str">
        <f t="shared" si="208"/>
        <v>9791137601710</v>
      </c>
      <c r="AV981" t="str">
        <f t="shared" si="209"/>
        <v>판타지 웹소설 &gt; 퓨전 판타지</v>
      </c>
    </row>
    <row r="982" spans="1:48" x14ac:dyDescent="0.4">
      <c r="A982">
        <v>2313017657</v>
      </c>
      <c r="B982">
        <v>2313017798</v>
      </c>
      <c r="C982" t="str">
        <f>T("회귀자의 슬기로운 복수생활 142화")</f>
        <v>회귀자의 슬기로운 복수생활 142화</v>
      </c>
      <c r="D982" t="str">
        <f>T("142")</f>
        <v>142</v>
      </c>
      <c r="E982" t="str">
        <f t="shared" si="205"/>
        <v>구공</v>
      </c>
      <c r="H982" t="str">
        <f t="shared" si="206"/>
        <v>스토리위즈</v>
      </c>
      <c r="I982" t="str">
        <f t="shared" si="207"/>
        <v>회귀자의 슬기로운 복수생활</v>
      </c>
      <c r="J982">
        <v>100</v>
      </c>
      <c r="K982">
        <v>1000</v>
      </c>
      <c r="L982">
        <v>10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1000</v>
      </c>
      <c r="AH982">
        <v>10</v>
      </c>
      <c r="AI982">
        <v>0</v>
      </c>
      <c r="AJ982">
        <v>0</v>
      </c>
      <c r="AK982">
        <v>1000</v>
      </c>
      <c r="AL982">
        <v>0</v>
      </c>
      <c r="AM982">
        <v>0</v>
      </c>
      <c r="AN982">
        <v>0</v>
      </c>
      <c r="AO982">
        <v>0</v>
      </c>
      <c r="AP982">
        <v>700</v>
      </c>
      <c r="AT982" t="str">
        <f t="shared" si="208"/>
        <v>9791137601710</v>
      </c>
      <c r="AV982" t="str">
        <f t="shared" si="209"/>
        <v>판타지 웹소설 &gt; 퓨전 판타지</v>
      </c>
    </row>
    <row r="983" spans="1:48" x14ac:dyDescent="0.4">
      <c r="A983">
        <v>2313017657</v>
      </c>
      <c r="B983">
        <v>2313017799</v>
      </c>
      <c r="C983" t="str">
        <f>T("회귀자의 슬기로운 복수생활 143화")</f>
        <v>회귀자의 슬기로운 복수생활 143화</v>
      </c>
      <c r="D983" t="str">
        <f>T("143")</f>
        <v>143</v>
      </c>
      <c r="E983" t="str">
        <f t="shared" si="205"/>
        <v>구공</v>
      </c>
      <c r="H983" t="str">
        <f t="shared" si="206"/>
        <v>스토리위즈</v>
      </c>
      <c r="I983" t="str">
        <f t="shared" si="207"/>
        <v>회귀자의 슬기로운 복수생활</v>
      </c>
      <c r="J983">
        <v>100</v>
      </c>
      <c r="K983">
        <v>1000</v>
      </c>
      <c r="L983">
        <v>10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1000</v>
      </c>
      <c r="AH983">
        <v>10</v>
      </c>
      <c r="AI983">
        <v>0</v>
      </c>
      <c r="AJ983">
        <v>0</v>
      </c>
      <c r="AK983">
        <v>1000</v>
      </c>
      <c r="AL983">
        <v>0</v>
      </c>
      <c r="AM983">
        <v>0</v>
      </c>
      <c r="AN983">
        <v>0</v>
      </c>
      <c r="AO983">
        <v>0</v>
      </c>
      <c r="AP983">
        <v>700</v>
      </c>
      <c r="AT983" t="str">
        <f t="shared" si="208"/>
        <v>9791137601710</v>
      </c>
      <c r="AV983" t="str">
        <f t="shared" si="209"/>
        <v>판타지 웹소설 &gt; 퓨전 판타지</v>
      </c>
    </row>
    <row r="984" spans="1:48" x14ac:dyDescent="0.4">
      <c r="A984">
        <v>2313017657</v>
      </c>
      <c r="B984">
        <v>2313017802</v>
      </c>
      <c r="C984" t="str">
        <f>T("회귀자의 슬기로운 복수생활 146화")</f>
        <v>회귀자의 슬기로운 복수생활 146화</v>
      </c>
      <c r="D984" t="str">
        <f>T("146")</f>
        <v>146</v>
      </c>
      <c r="E984" t="str">
        <f t="shared" si="205"/>
        <v>구공</v>
      </c>
      <c r="H984" t="str">
        <f t="shared" si="206"/>
        <v>스토리위즈</v>
      </c>
      <c r="I984" t="str">
        <f t="shared" si="207"/>
        <v>회귀자의 슬기로운 복수생활</v>
      </c>
      <c r="J984">
        <v>100</v>
      </c>
      <c r="K984">
        <v>1000</v>
      </c>
      <c r="L984">
        <v>10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1000</v>
      </c>
      <c r="AH984">
        <v>10</v>
      </c>
      <c r="AI984">
        <v>0</v>
      </c>
      <c r="AJ984">
        <v>0</v>
      </c>
      <c r="AK984">
        <v>1000</v>
      </c>
      <c r="AL984">
        <v>0</v>
      </c>
      <c r="AM984">
        <v>0</v>
      </c>
      <c r="AN984">
        <v>0</v>
      </c>
      <c r="AO984">
        <v>0</v>
      </c>
      <c r="AP984">
        <v>700</v>
      </c>
      <c r="AT984" t="str">
        <f t="shared" si="208"/>
        <v>9791137601710</v>
      </c>
      <c r="AV984" t="str">
        <f t="shared" si="209"/>
        <v>판타지 웹소설 &gt; 퓨전 판타지</v>
      </c>
    </row>
    <row r="985" spans="1:48" x14ac:dyDescent="0.4">
      <c r="A985">
        <v>2313017657</v>
      </c>
      <c r="B985">
        <v>2313017803</v>
      </c>
      <c r="C985" t="str">
        <f>T("회귀자의 슬기로운 복수생활 147화")</f>
        <v>회귀자의 슬기로운 복수생활 147화</v>
      </c>
      <c r="D985" t="str">
        <f>T("147")</f>
        <v>147</v>
      </c>
      <c r="E985" t="str">
        <f t="shared" si="205"/>
        <v>구공</v>
      </c>
      <c r="H985" t="str">
        <f t="shared" si="206"/>
        <v>스토리위즈</v>
      </c>
      <c r="I985" t="str">
        <f t="shared" si="207"/>
        <v>회귀자의 슬기로운 복수생활</v>
      </c>
      <c r="J985">
        <v>100</v>
      </c>
      <c r="K985">
        <v>1000</v>
      </c>
      <c r="L985">
        <v>10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1000</v>
      </c>
      <c r="AH985">
        <v>10</v>
      </c>
      <c r="AI985">
        <v>0</v>
      </c>
      <c r="AJ985">
        <v>0</v>
      </c>
      <c r="AK985">
        <v>1000</v>
      </c>
      <c r="AL985">
        <v>0</v>
      </c>
      <c r="AM985">
        <v>0</v>
      </c>
      <c r="AN985">
        <v>0</v>
      </c>
      <c r="AO985">
        <v>0</v>
      </c>
      <c r="AP985">
        <v>700</v>
      </c>
      <c r="AT985" t="str">
        <f t="shared" si="208"/>
        <v>9791137601710</v>
      </c>
      <c r="AV985" t="str">
        <f t="shared" si="209"/>
        <v>판타지 웹소설 &gt; 퓨전 판타지</v>
      </c>
    </row>
    <row r="986" spans="1:48" x14ac:dyDescent="0.4">
      <c r="A986">
        <v>2313017657</v>
      </c>
      <c r="B986">
        <v>2313017804</v>
      </c>
      <c r="C986" t="str">
        <f>T("회귀자의 슬기로운 복수생활 148화")</f>
        <v>회귀자의 슬기로운 복수생활 148화</v>
      </c>
      <c r="D986" t="str">
        <f>T("148")</f>
        <v>148</v>
      </c>
      <c r="E986" t="str">
        <f t="shared" si="205"/>
        <v>구공</v>
      </c>
      <c r="H986" t="str">
        <f t="shared" si="206"/>
        <v>스토리위즈</v>
      </c>
      <c r="I986" t="str">
        <f t="shared" si="207"/>
        <v>회귀자의 슬기로운 복수생활</v>
      </c>
      <c r="J986">
        <v>100</v>
      </c>
      <c r="K986">
        <v>1000</v>
      </c>
      <c r="L986">
        <v>10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1000</v>
      </c>
      <c r="AH986">
        <v>10</v>
      </c>
      <c r="AI986">
        <v>0</v>
      </c>
      <c r="AJ986">
        <v>0</v>
      </c>
      <c r="AK986">
        <v>1000</v>
      </c>
      <c r="AL986">
        <v>0</v>
      </c>
      <c r="AM986">
        <v>0</v>
      </c>
      <c r="AN986">
        <v>0</v>
      </c>
      <c r="AO986">
        <v>0</v>
      </c>
      <c r="AP986">
        <v>700</v>
      </c>
      <c r="AT986" t="str">
        <f t="shared" si="208"/>
        <v>9791137601710</v>
      </c>
      <c r="AV986" t="str">
        <f t="shared" si="209"/>
        <v>판타지 웹소설 &gt; 퓨전 판타지</v>
      </c>
    </row>
    <row r="987" spans="1:48" x14ac:dyDescent="0.4">
      <c r="A987">
        <v>2313017657</v>
      </c>
      <c r="B987">
        <v>2313017825</v>
      </c>
      <c r="C987" t="str">
        <f>T("회귀자의 슬기로운 복수생활 169화")</f>
        <v>회귀자의 슬기로운 복수생활 169화</v>
      </c>
      <c r="D987" t="str">
        <f>T("169")</f>
        <v>169</v>
      </c>
      <c r="E987" t="str">
        <f t="shared" si="205"/>
        <v>구공</v>
      </c>
      <c r="H987" t="str">
        <f t="shared" si="206"/>
        <v>스토리위즈</v>
      </c>
      <c r="I987" t="str">
        <f t="shared" si="207"/>
        <v>회귀자의 슬기로운 복수생활</v>
      </c>
      <c r="J987">
        <v>100</v>
      </c>
      <c r="K987">
        <v>1000</v>
      </c>
      <c r="L987">
        <v>10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1000</v>
      </c>
      <c r="AH987">
        <v>10</v>
      </c>
      <c r="AI987">
        <v>0</v>
      </c>
      <c r="AJ987">
        <v>0</v>
      </c>
      <c r="AK987">
        <v>1000</v>
      </c>
      <c r="AL987">
        <v>0</v>
      </c>
      <c r="AM987">
        <v>0</v>
      </c>
      <c r="AN987">
        <v>0</v>
      </c>
      <c r="AO987">
        <v>0</v>
      </c>
      <c r="AP987">
        <v>700</v>
      </c>
      <c r="AT987" t="str">
        <f t="shared" si="208"/>
        <v>9791137601710</v>
      </c>
      <c r="AV987" t="str">
        <f t="shared" si="209"/>
        <v>판타지 웹소설 &gt; 퓨전 판타지</v>
      </c>
    </row>
    <row r="988" spans="1:48" x14ac:dyDescent="0.4">
      <c r="A988">
        <v>2313017657</v>
      </c>
      <c r="B988">
        <v>2313017826</v>
      </c>
      <c r="C988" t="str">
        <f>T("회귀자의 슬기로운 복수생활 170화")</f>
        <v>회귀자의 슬기로운 복수생활 170화</v>
      </c>
      <c r="D988" t="str">
        <f>T("170")</f>
        <v>170</v>
      </c>
      <c r="E988" t="str">
        <f t="shared" si="205"/>
        <v>구공</v>
      </c>
      <c r="H988" t="str">
        <f t="shared" si="206"/>
        <v>스토리위즈</v>
      </c>
      <c r="I988" t="str">
        <f t="shared" si="207"/>
        <v>회귀자의 슬기로운 복수생활</v>
      </c>
      <c r="J988">
        <v>100</v>
      </c>
      <c r="K988">
        <v>1000</v>
      </c>
      <c r="L988">
        <v>10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1000</v>
      </c>
      <c r="AH988">
        <v>10</v>
      </c>
      <c r="AI988">
        <v>0</v>
      </c>
      <c r="AJ988">
        <v>0</v>
      </c>
      <c r="AK988">
        <v>1000</v>
      </c>
      <c r="AL988">
        <v>0</v>
      </c>
      <c r="AM988">
        <v>0</v>
      </c>
      <c r="AN988">
        <v>0</v>
      </c>
      <c r="AO988">
        <v>0</v>
      </c>
      <c r="AP988">
        <v>700</v>
      </c>
      <c r="AT988" t="str">
        <f t="shared" si="208"/>
        <v>9791137601710</v>
      </c>
      <c r="AV988" t="str">
        <f t="shared" si="209"/>
        <v>판타지 웹소설 &gt; 퓨전 판타지</v>
      </c>
    </row>
    <row r="989" spans="1:48" x14ac:dyDescent="0.4">
      <c r="A989">
        <v>2313017657</v>
      </c>
      <c r="B989">
        <v>2313017827</v>
      </c>
      <c r="C989" t="str">
        <f>T("회귀자의 슬기로운 복수생활 171화")</f>
        <v>회귀자의 슬기로운 복수생활 171화</v>
      </c>
      <c r="D989" t="str">
        <f>T("171")</f>
        <v>171</v>
      </c>
      <c r="E989" t="str">
        <f t="shared" si="205"/>
        <v>구공</v>
      </c>
      <c r="H989" t="str">
        <f t="shared" si="206"/>
        <v>스토리위즈</v>
      </c>
      <c r="I989" t="str">
        <f t="shared" si="207"/>
        <v>회귀자의 슬기로운 복수생활</v>
      </c>
      <c r="J989">
        <v>100</v>
      </c>
      <c r="K989">
        <v>1000</v>
      </c>
      <c r="L989">
        <v>10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1000</v>
      </c>
      <c r="AH989">
        <v>10</v>
      </c>
      <c r="AI989">
        <v>0</v>
      </c>
      <c r="AJ989">
        <v>0</v>
      </c>
      <c r="AK989">
        <v>1000</v>
      </c>
      <c r="AL989">
        <v>0</v>
      </c>
      <c r="AM989">
        <v>0</v>
      </c>
      <c r="AN989">
        <v>0</v>
      </c>
      <c r="AO989">
        <v>0</v>
      </c>
      <c r="AP989">
        <v>700</v>
      </c>
      <c r="AT989" t="str">
        <f t="shared" si="208"/>
        <v>9791137601710</v>
      </c>
      <c r="AV989" t="str">
        <f t="shared" si="209"/>
        <v>판타지 웹소설 &gt; 퓨전 판타지</v>
      </c>
    </row>
    <row r="990" spans="1:48" x14ac:dyDescent="0.4">
      <c r="A990">
        <v>2313017657</v>
      </c>
      <c r="B990">
        <v>2313017834</v>
      </c>
      <c r="C990" t="str">
        <f>T("회귀자의 슬기로운 복수생활 178화")</f>
        <v>회귀자의 슬기로운 복수생활 178화</v>
      </c>
      <c r="D990" t="str">
        <f>T("178")</f>
        <v>178</v>
      </c>
      <c r="E990" t="str">
        <f t="shared" si="205"/>
        <v>구공</v>
      </c>
      <c r="H990" t="str">
        <f t="shared" si="206"/>
        <v>스토리위즈</v>
      </c>
      <c r="I990" t="str">
        <f t="shared" si="207"/>
        <v>회귀자의 슬기로운 복수생활</v>
      </c>
      <c r="J990">
        <v>100</v>
      </c>
      <c r="K990">
        <v>1000</v>
      </c>
      <c r="L990">
        <v>10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1000</v>
      </c>
      <c r="AH990">
        <v>10</v>
      </c>
      <c r="AI990">
        <v>0</v>
      </c>
      <c r="AJ990">
        <v>0</v>
      </c>
      <c r="AK990">
        <v>1000</v>
      </c>
      <c r="AL990">
        <v>0</v>
      </c>
      <c r="AM990">
        <v>0</v>
      </c>
      <c r="AN990">
        <v>0</v>
      </c>
      <c r="AO990">
        <v>0</v>
      </c>
      <c r="AP990">
        <v>700</v>
      </c>
      <c r="AT990" t="str">
        <f t="shared" si="208"/>
        <v>9791137601710</v>
      </c>
      <c r="AV990" t="str">
        <f t="shared" si="209"/>
        <v>판타지 웹소설 &gt; 퓨전 판타지</v>
      </c>
    </row>
    <row r="991" spans="1:48" x14ac:dyDescent="0.4">
      <c r="A991">
        <v>2313017657</v>
      </c>
      <c r="B991">
        <v>2313017835</v>
      </c>
      <c r="C991" t="str">
        <f>T("회귀자의 슬기로운 복수생활 179화")</f>
        <v>회귀자의 슬기로운 복수생활 179화</v>
      </c>
      <c r="D991" t="str">
        <f>T("179")</f>
        <v>179</v>
      </c>
      <c r="E991" t="str">
        <f t="shared" si="205"/>
        <v>구공</v>
      </c>
      <c r="H991" t="str">
        <f t="shared" si="206"/>
        <v>스토리위즈</v>
      </c>
      <c r="I991" t="str">
        <f t="shared" si="207"/>
        <v>회귀자의 슬기로운 복수생활</v>
      </c>
      <c r="J991">
        <v>100</v>
      </c>
      <c r="K991">
        <v>1000</v>
      </c>
      <c r="L991">
        <v>10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1000</v>
      </c>
      <c r="AH991">
        <v>10</v>
      </c>
      <c r="AI991">
        <v>0</v>
      </c>
      <c r="AJ991">
        <v>0</v>
      </c>
      <c r="AK991">
        <v>1000</v>
      </c>
      <c r="AL991">
        <v>0</v>
      </c>
      <c r="AM991">
        <v>0</v>
      </c>
      <c r="AN991">
        <v>0</v>
      </c>
      <c r="AO991">
        <v>0</v>
      </c>
      <c r="AP991">
        <v>700</v>
      </c>
      <c r="AT991" t="str">
        <f t="shared" si="208"/>
        <v>9791137601710</v>
      </c>
      <c r="AV991" t="str">
        <f t="shared" si="209"/>
        <v>판타지 웹소설 &gt; 퓨전 판타지</v>
      </c>
    </row>
    <row r="992" spans="1:48" x14ac:dyDescent="0.4">
      <c r="A992">
        <v>2313017657</v>
      </c>
      <c r="B992">
        <v>2313017836</v>
      </c>
      <c r="C992" t="str">
        <f>T("회귀자의 슬기로운 복수생활 180화")</f>
        <v>회귀자의 슬기로운 복수생활 180화</v>
      </c>
      <c r="D992" t="str">
        <f>T("180")</f>
        <v>180</v>
      </c>
      <c r="E992" t="str">
        <f t="shared" si="205"/>
        <v>구공</v>
      </c>
      <c r="H992" t="str">
        <f t="shared" si="206"/>
        <v>스토리위즈</v>
      </c>
      <c r="I992" t="str">
        <f t="shared" si="207"/>
        <v>회귀자의 슬기로운 복수생활</v>
      </c>
      <c r="J992">
        <v>100</v>
      </c>
      <c r="K992">
        <v>1000</v>
      </c>
      <c r="L992">
        <v>10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1000</v>
      </c>
      <c r="AH992">
        <v>10</v>
      </c>
      <c r="AI992">
        <v>0</v>
      </c>
      <c r="AJ992">
        <v>0</v>
      </c>
      <c r="AK992">
        <v>1000</v>
      </c>
      <c r="AL992">
        <v>0</v>
      </c>
      <c r="AM992">
        <v>0</v>
      </c>
      <c r="AN992">
        <v>0</v>
      </c>
      <c r="AO992">
        <v>0</v>
      </c>
      <c r="AP992">
        <v>700</v>
      </c>
      <c r="AT992" t="str">
        <f t="shared" si="208"/>
        <v>9791137601710</v>
      </c>
      <c r="AV992" t="str">
        <f t="shared" si="209"/>
        <v>판타지 웹소설 &gt; 퓨전 판타지</v>
      </c>
    </row>
    <row r="993" spans="1:48" x14ac:dyDescent="0.4">
      <c r="A993">
        <v>2313017657</v>
      </c>
      <c r="B993">
        <v>2313017840</v>
      </c>
      <c r="C993" t="str">
        <f>T("회귀자의 슬기로운 복수생활 184화")</f>
        <v>회귀자의 슬기로운 복수생활 184화</v>
      </c>
      <c r="D993" t="str">
        <f>T("184")</f>
        <v>184</v>
      </c>
      <c r="E993" t="str">
        <f t="shared" si="205"/>
        <v>구공</v>
      </c>
      <c r="H993" t="str">
        <f t="shared" si="206"/>
        <v>스토리위즈</v>
      </c>
      <c r="I993" t="str">
        <f t="shared" si="207"/>
        <v>회귀자의 슬기로운 복수생활</v>
      </c>
      <c r="J993">
        <v>100</v>
      </c>
      <c r="K993">
        <v>1000</v>
      </c>
      <c r="L993">
        <v>10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1000</v>
      </c>
      <c r="AH993">
        <v>10</v>
      </c>
      <c r="AI993">
        <v>0</v>
      </c>
      <c r="AJ993">
        <v>0</v>
      </c>
      <c r="AK993">
        <v>1000</v>
      </c>
      <c r="AL993">
        <v>0</v>
      </c>
      <c r="AM993">
        <v>0</v>
      </c>
      <c r="AN993">
        <v>0</v>
      </c>
      <c r="AO993">
        <v>0</v>
      </c>
      <c r="AP993">
        <v>700</v>
      </c>
      <c r="AT993" t="str">
        <f t="shared" si="208"/>
        <v>9791137601710</v>
      </c>
      <c r="AV993" t="str">
        <f t="shared" si="209"/>
        <v>판타지 웹소설 &gt; 퓨전 판타지</v>
      </c>
    </row>
    <row r="994" spans="1:48" x14ac:dyDescent="0.4">
      <c r="A994">
        <v>2313017657</v>
      </c>
      <c r="B994">
        <v>2313017841</v>
      </c>
      <c r="C994" t="str">
        <f>T("회귀자의 슬기로운 복수생활 185화")</f>
        <v>회귀자의 슬기로운 복수생활 185화</v>
      </c>
      <c r="D994" t="str">
        <f>T("185")</f>
        <v>185</v>
      </c>
      <c r="E994" t="str">
        <f t="shared" si="205"/>
        <v>구공</v>
      </c>
      <c r="H994" t="str">
        <f t="shared" si="206"/>
        <v>스토리위즈</v>
      </c>
      <c r="I994" t="str">
        <f t="shared" si="207"/>
        <v>회귀자의 슬기로운 복수생활</v>
      </c>
      <c r="J994">
        <v>100</v>
      </c>
      <c r="K994">
        <v>1000</v>
      </c>
      <c r="L994">
        <v>10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1000</v>
      </c>
      <c r="AH994">
        <v>10</v>
      </c>
      <c r="AI994">
        <v>0</v>
      </c>
      <c r="AJ994">
        <v>0</v>
      </c>
      <c r="AK994">
        <v>1000</v>
      </c>
      <c r="AL994">
        <v>0</v>
      </c>
      <c r="AM994">
        <v>0</v>
      </c>
      <c r="AN994">
        <v>0</v>
      </c>
      <c r="AO994">
        <v>0</v>
      </c>
      <c r="AP994">
        <v>700</v>
      </c>
      <c r="AT994" t="str">
        <f t="shared" si="208"/>
        <v>9791137601710</v>
      </c>
      <c r="AV994" t="str">
        <f t="shared" si="209"/>
        <v>판타지 웹소설 &gt; 퓨전 판타지</v>
      </c>
    </row>
    <row r="995" spans="1:48" x14ac:dyDescent="0.4">
      <c r="A995">
        <v>2313017657</v>
      </c>
      <c r="B995">
        <v>2313017842</v>
      </c>
      <c r="C995" t="str">
        <f>T("회귀자의 슬기로운 복수생활 186화")</f>
        <v>회귀자의 슬기로운 복수생활 186화</v>
      </c>
      <c r="D995" t="str">
        <f>T("186")</f>
        <v>186</v>
      </c>
      <c r="E995" t="str">
        <f t="shared" si="205"/>
        <v>구공</v>
      </c>
      <c r="H995" t="str">
        <f t="shared" si="206"/>
        <v>스토리위즈</v>
      </c>
      <c r="I995" t="str">
        <f t="shared" si="207"/>
        <v>회귀자의 슬기로운 복수생활</v>
      </c>
      <c r="J995">
        <v>100</v>
      </c>
      <c r="K995">
        <v>1000</v>
      </c>
      <c r="L995">
        <v>10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1000</v>
      </c>
      <c r="AH995">
        <v>10</v>
      </c>
      <c r="AI995">
        <v>0</v>
      </c>
      <c r="AJ995">
        <v>0</v>
      </c>
      <c r="AK995">
        <v>1000</v>
      </c>
      <c r="AL995">
        <v>0</v>
      </c>
      <c r="AM995">
        <v>0</v>
      </c>
      <c r="AN995">
        <v>0</v>
      </c>
      <c r="AO995">
        <v>0</v>
      </c>
      <c r="AP995">
        <v>700</v>
      </c>
      <c r="AT995" t="str">
        <f t="shared" si="208"/>
        <v>9791137601710</v>
      </c>
      <c r="AV995" t="str">
        <f t="shared" si="209"/>
        <v>판타지 웹소설 &gt; 퓨전 판타지</v>
      </c>
    </row>
    <row r="996" spans="1:48" x14ac:dyDescent="0.4">
      <c r="A996">
        <v>2313007845</v>
      </c>
      <c r="B996">
        <v>2313008042</v>
      </c>
      <c r="C996" t="str">
        <f>T("간신이 나라를 살림 198화")</f>
        <v>간신이 나라를 살림 198화</v>
      </c>
      <c r="D996" t="str">
        <f>T("198")</f>
        <v>198</v>
      </c>
      <c r="E996" t="str">
        <f t="shared" ref="E996:E1030" si="210">T("루이세")</f>
        <v>루이세</v>
      </c>
      <c r="H996" t="str">
        <f t="shared" si="206"/>
        <v>스토리위즈</v>
      </c>
      <c r="I996" t="str">
        <f t="shared" ref="I996:I1030" si="211">T("간신이 나라를 살림")</f>
        <v>간신이 나라를 살림</v>
      </c>
      <c r="J996">
        <v>100</v>
      </c>
      <c r="K996">
        <v>900</v>
      </c>
      <c r="L996">
        <v>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900</v>
      </c>
      <c r="AH996">
        <v>9</v>
      </c>
      <c r="AI996">
        <v>0</v>
      </c>
      <c r="AJ996">
        <v>0</v>
      </c>
      <c r="AK996">
        <v>900</v>
      </c>
      <c r="AL996">
        <v>0</v>
      </c>
      <c r="AM996">
        <v>0</v>
      </c>
      <c r="AN996">
        <v>0</v>
      </c>
      <c r="AO996">
        <v>0</v>
      </c>
      <c r="AP996">
        <v>630</v>
      </c>
      <c r="AT996" t="str">
        <f t="shared" ref="AT996:AT1030" si="212">T("9791159284663")</f>
        <v>9791159284663</v>
      </c>
      <c r="AV996" t="str">
        <f t="shared" si="209"/>
        <v>판타지 웹소설 &gt; 퓨전 판타지</v>
      </c>
    </row>
    <row r="997" spans="1:48" x14ac:dyDescent="0.4">
      <c r="A997">
        <v>2313007845</v>
      </c>
      <c r="B997">
        <v>2313008043</v>
      </c>
      <c r="C997" t="str">
        <f>T("간신이 나라를 살림 199화")</f>
        <v>간신이 나라를 살림 199화</v>
      </c>
      <c r="D997" t="str">
        <f>T("199")</f>
        <v>199</v>
      </c>
      <c r="E997" t="str">
        <f t="shared" si="210"/>
        <v>루이세</v>
      </c>
      <c r="H997" t="str">
        <f t="shared" si="206"/>
        <v>스토리위즈</v>
      </c>
      <c r="I997" t="str">
        <f t="shared" si="211"/>
        <v>간신이 나라를 살림</v>
      </c>
      <c r="J997">
        <v>100</v>
      </c>
      <c r="K997">
        <v>900</v>
      </c>
      <c r="L997">
        <v>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900</v>
      </c>
      <c r="AH997">
        <v>9</v>
      </c>
      <c r="AI997">
        <v>0</v>
      </c>
      <c r="AJ997">
        <v>0</v>
      </c>
      <c r="AK997">
        <v>900</v>
      </c>
      <c r="AL997">
        <v>0</v>
      </c>
      <c r="AM997">
        <v>0</v>
      </c>
      <c r="AN997">
        <v>0</v>
      </c>
      <c r="AO997">
        <v>0</v>
      </c>
      <c r="AP997">
        <v>630</v>
      </c>
      <c r="AT997" t="str">
        <f t="shared" si="212"/>
        <v>9791159284663</v>
      </c>
      <c r="AV997" t="str">
        <f t="shared" si="209"/>
        <v>판타지 웹소설 &gt; 퓨전 판타지</v>
      </c>
    </row>
    <row r="998" spans="1:48" x14ac:dyDescent="0.4">
      <c r="A998">
        <v>2313007845</v>
      </c>
      <c r="B998">
        <v>2313008044</v>
      </c>
      <c r="C998" t="str">
        <f>T("간신이 나라를 살림 200화")</f>
        <v>간신이 나라를 살림 200화</v>
      </c>
      <c r="D998" t="str">
        <f>T("200")</f>
        <v>200</v>
      </c>
      <c r="E998" t="str">
        <f t="shared" si="210"/>
        <v>루이세</v>
      </c>
      <c r="H998" t="str">
        <f t="shared" si="206"/>
        <v>스토리위즈</v>
      </c>
      <c r="I998" t="str">
        <f t="shared" si="211"/>
        <v>간신이 나라를 살림</v>
      </c>
      <c r="J998">
        <v>100</v>
      </c>
      <c r="K998">
        <v>900</v>
      </c>
      <c r="L998">
        <v>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900</v>
      </c>
      <c r="AH998">
        <v>9</v>
      </c>
      <c r="AI998">
        <v>0</v>
      </c>
      <c r="AJ998">
        <v>0</v>
      </c>
      <c r="AK998">
        <v>900</v>
      </c>
      <c r="AL998">
        <v>0</v>
      </c>
      <c r="AM998">
        <v>0</v>
      </c>
      <c r="AN998">
        <v>0</v>
      </c>
      <c r="AO998">
        <v>0</v>
      </c>
      <c r="AP998">
        <v>630</v>
      </c>
      <c r="AT998" t="str">
        <f t="shared" si="212"/>
        <v>9791159284663</v>
      </c>
      <c r="AV998" t="str">
        <f t="shared" si="209"/>
        <v>판타지 웹소설 &gt; 퓨전 판타지</v>
      </c>
    </row>
    <row r="999" spans="1:48" x14ac:dyDescent="0.4">
      <c r="A999">
        <v>2313007845</v>
      </c>
      <c r="B999">
        <v>2313008045</v>
      </c>
      <c r="C999" t="str">
        <f>T("간신이 나라를 살림 201화")</f>
        <v>간신이 나라를 살림 201화</v>
      </c>
      <c r="D999" t="str">
        <f>T("201")</f>
        <v>201</v>
      </c>
      <c r="E999" t="str">
        <f t="shared" si="210"/>
        <v>루이세</v>
      </c>
      <c r="H999" t="str">
        <f t="shared" si="206"/>
        <v>스토리위즈</v>
      </c>
      <c r="I999" t="str">
        <f t="shared" si="211"/>
        <v>간신이 나라를 살림</v>
      </c>
      <c r="J999">
        <v>100</v>
      </c>
      <c r="K999">
        <v>900</v>
      </c>
      <c r="L999">
        <v>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900</v>
      </c>
      <c r="AH999">
        <v>9</v>
      </c>
      <c r="AI999">
        <v>0</v>
      </c>
      <c r="AJ999">
        <v>0</v>
      </c>
      <c r="AK999">
        <v>900</v>
      </c>
      <c r="AL999">
        <v>0</v>
      </c>
      <c r="AM999">
        <v>0</v>
      </c>
      <c r="AN999">
        <v>0</v>
      </c>
      <c r="AO999">
        <v>0</v>
      </c>
      <c r="AP999">
        <v>630</v>
      </c>
      <c r="AT999" t="str">
        <f t="shared" si="212"/>
        <v>9791159284663</v>
      </c>
      <c r="AV999" t="str">
        <f t="shared" si="209"/>
        <v>판타지 웹소설 &gt; 퓨전 판타지</v>
      </c>
    </row>
    <row r="1000" spans="1:48" x14ac:dyDescent="0.4">
      <c r="A1000">
        <v>2313007845</v>
      </c>
      <c r="B1000">
        <v>2313008046</v>
      </c>
      <c r="C1000" t="str">
        <f>T("간신이 나라를 살림 202화")</f>
        <v>간신이 나라를 살림 202화</v>
      </c>
      <c r="D1000" t="str">
        <f>T("202")</f>
        <v>202</v>
      </c>
      <c r="E1000" t="str">
        <f t="shared" si="210"/>
        <v>루이세</v>
      </c>
      <c r="H1000" t="str">
        <f t="shared" si="206"/>
        <v>스토리위즈</v>
      </c>
      <c r="I1000" t="str">
        <f t="shared" si="211"/>
        <v>간신이 나라를 살림</v>
      </c>
      <c r="J1000">
        <v>100</v>
      </c>
      <c r="K1000">
        <v>900</v>
      </c>
      <c r="L1000">
        <v>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900</v>
      </c>
      <c r="AH1000">
        <v>9</v>
      </c>
      <c r="AI1000">
        <v>0</v>
      </c>
      <c r="AJ1000">
        <v>0</v>
      </c>
      <c r="AK1000">
        <v>900</v>
      </c>
      <c r="AL1000">
        <v>0</v>
      </c>
      <c r="AM1000">
        <v>0</v>
      </c>
      <c r="AN1000">
        <v>0</v>
      </c>
      <c r="AO1000">
        <v>0</v>
      </c>
      <c r="AP1000">
        <v>630</v>
      </c>
      <c r="AT1000" t="str">
        <f t="shared" si="212"/>
        <v>9791159284663</v>
      </c>
      <c r="AV1000" t="str">
        <f t="shared" si="209"/>
        <v>판타지 웹소설 &gt; 퓨전 판타지</v>
      </c>
    </row>
    <row r="1001" spans="1:48" x14ac:dyDescent="0.4">
      <c r="A1001">
        <v>2313007845</v>
      </c>
      <c r="B1001">
        <v>2313008047</v>
      </c>
      <c r="C1001" t="str">
        <f>T("간신이 나라를 살림 203화")</f>
        <v>간신이 나라를 살림 203화</v>
      </c>
      <c r="D1001" t="str">
        <f>T("203")</f>
        <v>203</v>
      </c>
      <c r="E1001" t="str">
        <f t="shared" si="210"/>
        <v>루이세</v>
      </c>
      <c r="H1001" t="str">
        <f t="shared" si="206"/>
        <v>스토리위즈</v>
      </c>
      <c r="I1001" t="str">
        <f t="shared" si="211"/>
        <v>간신이 나라를 살림</v>
      </c>
      <c r="J1001">
        <v>100</v>
      </c>
      <c r="K1001">
        <v>900</v>
      </c>
      <c r="L1001">
        <v>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900</v>
      </c>
      <c r="AH1001">
        <v>9</v>
      </c>
      <c r="AI1001">
        <v>0</v>
      </c>
      <c r="AJ1001">
        <v>0</v>
      </c>
      <c r="AK1001">
        <v>900</v>
      </c>
      <c r="AL1001">
        <v>0</v>
      </c>
      <c r="AM1001">
        <v>0</v>
      </c>
      <c r="AN1001">
        <v>0</v>
      </c>
      <c r="AO1001">
        <v>0</v>
      </c>
      <c r="AP1001">
        <v>630</v>
      </c>
      <c r="AT1001" t="str">
        <f t="shared" si="212"/>
        <v>9791159284663</v>
      </c>
      <c r="AV1001" t="str">
        <f t="shared" si="209"/>
        <v>판타지 웹소설 &gt; 퓨전 판타지</v>
      </c>
    </row>
    <row r="1002" spans="1:48" x14ac:dyDescent="0.4">
      <c r="A1002">
        <v>2313007845</v>
      </c>
      <c r="B1002">
        <v>2313008049</v>
      </c>
      <c r="C1002" t="str">
        <f>T("간신이 나라를 살림 205화")</f>
        <v>간신이 나라를 살림 205화</v>
      </c>
      <c r="D1002" t="str">
        <f>T("205")</f>
        <v>205</v>
      </c>
      <c r="E1002" t="str">
        <f t="shared" si="210"/>
        <v>루이세</v>
      </c>
      <c r="H1002" t="str">
        <f t="shared" si="206"/>
        <v>스토리위즈</v>
      </c>
      <c r="I1002" t="str">
        <f t="shared" si="211"/>
        <v>간신이 나라를 살림</v>
      </c>
      <c r="J1002">
        <v>100</v>
      </c>
      <c r="K1002">
        <v>900</v>
      </c>
      <c r="L1002">
        <v>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900</v>
      </c>
      <c r="AH1002">
        <v>9</v>
      </c>
      <c r="AI1002">
        <v>0</v>
      </c>
      <c r="AJ1002">
        <v>0</v>
      </c>
      <c r="AK1002">
        <v>900</v>
      </c>
      <c r="AL1002">
        <v>0</v>
      </c>
      <c r="AM1002">
        <v>0</v>
      </c>
      <c r="AN1002">
        <v>0</v>
      </c>
      <c r="AO1002">
        <v>0</v>
      </c>
      <c r="AP1002">
        <v>630</v>
      </c>
      <c r="AT1002" t="str">
        <f t="shared" si="212"/>
        <v>9791159284663</v>
      </c>
      <c r="AV1002" t="str">
        <f t="shared" si="209"/>
        <v>판타지 웹소설 &gt; 퓨전 판타지</v>
      </c>
    </row>
    <row r="1003" spans="1:48" x14ac:dyDescent="0.4">
      <c r="A1003">
        <v>2313007845</v>
      </c>
      <c r="B1003">
        <v>2313008050</v>
      </c>
      <c r="C1003" t="str">
        <f>T("간신이 나라를 살림 206화")</f>
        <v>간신이 나라를 살림 206화</v>
      </c>
      <c r="D1003" t="str">
        <f>T("206")</f>
        <v>206</v>
      </c>
      <c r="E1003" t="str">
        <f t="shared" si="210"/>
        <v>루이세</v>
      </c>
      <c r="H1003" t="str">
        <f t="shared" si="206"/>
        <v>스토리위즈</v>
      </c>
      <c r="I1003" t="str">
        <f t="shared" si="211"/>
        <v>간신이 나라를 살림</v>
      </c>
      <c r="J1003">
        <v>100</v>
      </c>
      <c r="K1003">
        <v>900</v>
      </c>
      <c r="L1003">
        <v>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900</v>
      </c>
      <c r="AH1003">
        <v>9</v>
      </c>
      <c r="AI1003">
        <v>0</v>
      </c>
      <c r="AJ1003">
        <v>0</v>
      </c>
      <c r="AK1003">
        <v>900</v>
      </c>
      <c r="AL1003">
        <v>0</v>
      </c>
      <c r="AM1003">
        <v>0</v>
      </c>
      <c r="AN1003">
        <v>0</v>
      </c>
      <c r="AO1003">
        <v>0</v>
      </c>
      <c r="AP1003">
        <v>630</v>
      </c>
      <c r="AT1003" t="str">
        <f t="shared" si="212"/>
        <v>9791159284663</v>
      </c>
      <c r="AV1003" t="str">
        <f t="shared" si="209"/>
        <v>판타지 웹소설 &gt; 퓨전 판타지</v>
      </c>
    </row>
    <row r="1004" spans="1:48" x14ac:dyDescent="0.4">
      <c r="A1004">
        <v>2313007845</v>
      </c>
      <c r="B1004">
        <v>2313008051</v>
      </c>
      <c r="C1004" t="str">
        <f>T("간신이 나라를 살림 207화")</f>
        <v>간신이 나라를 살림 207화</v>
      </c>
      <c r="D1004" t="str">
        <f>T("207")</f>
        <v>207</v>
      </c>
      <c r="E1004" t="str">
        <f t="shared" si="210"/>
        <v>루이세</v>
      </c>
      <c r="H1004" t="str">
        <f t="shared" si="206"/>
        <v>스토리위즈</v>
      </c>
      <c r="I1004" t="str">
        <f t="shared" si="211"/>
        <v>간신이 나라를 살림</v>
      </c>
      <c r="J1004">
        <v>100</v>
      </c>
      <c r="K1004">
        <v>900</v>
      </c>
      <c r="L1004">
        <v>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900</v>
      </c>
      <c r="AH1004">
        <v>9</v>
      </c>
      <c r="AI1004">
        <v>0</v>
      </c>
      <c r="AJ1004">
        <v>0</v>
      </c>
      <c r="AK1004">
        <v>900</v>
      </c>
      <c r="AL1004">
        <v>0</v>
      </c>
      <c r="AM1004">
        <v>0</v>
      </c>
      <c r="AN1004">
        <v>0</v>
      </c>
      <c r="AO1004">
        <v>0</v>
      </c>
      <c r="AP1004">
        <v>630</v>
      </c>
      <c r="AT1004" t="str">
        <f t="shared" si="212"/>
        <v>9791159284663</v>
      </c>
      <c r="AV1004" t="str">
        <f t="shared" si="209"/>
        <v>판타지 웹소설 &gt; 퓨전 판타지</v>
      </c>
    </row>
    <row r="1005" spans="1:48" x14ac:dyDescent="0.4">
      <c r="A1005">
        <v>2313007845</v>
      </c>
      <c r="B1005">
        <v>2313008052</v>
      </c>
      <c r="C1005" t="str">
        <f>T("간신이 나라를 살림 208화")</f>
        <v>간신이 나라를 살림 208화</v>
      </c>
      <c r="D1005" t="str">
        <f>T("208")</f>
        <v>208</v>
      </c>
      <c r="E1005" t="str">
        <f t="shared" si="210"/>
        <v>루이세</v>
      </c>
      <c r="H1005" t="str">
        <f t="shared" si="206"/>
        <v>스토리위즈</v>
      </c>
      <c r="I1005" t="str">
        <f t="shared" si="211"/>
        <v>간신이 나라를 살림</v>
      </c>
      <c r="J1005">
        <v>100</v>
      </c>
      <c r="K1005">
        <v>900</v>
      </c>
      <c r="L1005">
        <v>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900</v>
      </c>
      <c r="AH1005">
        <v>9</v>
      </c>
      <c r="AI1005">
        <v>0</v>
      </c>
      <c r="AJ1005">
        <v>0</v>
      </c>
      <c r="AK1005">
        <v>900</v>
      </c>
      <c r="AL1005">
        <v>0</v>
      </c>
      <c r="AM1005">
        <v>0</v>
      </c>
      <c r="AN1005">
        <v>0</v>
      </c>
      <c r="AO1005">
        <v>0</v>
      </c>
      <c r="AP1005">
        <v>630</v>
      </c>
      <c r="AT1005" t="str">
        <f t="shared" si="212"/>
        <v>9791159284663</v>
      </c>
      <c r="AV1005" t="str">
        <f t="shared" si="209"/>
        <v>판타지 웹소설 &gt; 퓨전 판타지</v>
      </c>
    </row>
    <row r="1006" spans="1:48" x14ac:dyDescent="0.4">
      <c r="A1006">
        <v>2313007845</v>
      </c>
      <c r="B1006">
        <v>2313008053</v>
      </c>
      <c r="C1006" t="str">
        <f>T("간신이 나라를 살림 209화")</f>
        <v>간신이 나라를 살림 209화</v>
      </c>
      <c r="D1006" t="str">
        <f>T("209")</f>
        <v>209</v>
      </c>
      <c r="E1006" t="str">
        <f t="shared" si="210"/>
        <v>루이세</v>
      </c>
      <c r="H1006" t="str">
        <f t="shared" si="206"/>
        <v>스토리위즈</v>
      </c>
      <c r="I1006" t="str">
        <f t="shared" si="211"/>
        <v>간신이 나라를 살림</v>
      </c>
      <c r="J1006">
        <v>100</v>
      </c>
      <c r="K1006">
        <v>900</v>
      </c>
      <c r="L1006">
        <v>9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900</v>
      </c>
      <c r="AH1006">
        <v>9</v>
      </c>
      <c r="AI1006">
        <v>0</v>
      </c>
      <c r="AJ1006">
        <v>0</v>
      </c>
      <c r="AK1006">
        <v>900</v>
      </c>
      <c r="AL1006">
        <v>0</v>
      </c>
      <c r="AM1006">
        <v>0</v>
      </c>
      <c r="AN1006">
        <v>0</v>
      </c>
      <c r="AO1006">
        <v>0</v>
      </c>
      <c r="AP1006">
        <v>630</v>
      </c>
      <c r="AT1006" t="str">
        <f t="shared" si="212"/>
        <v>9791159284663</v>
      </c>
      <c r="AV1006" t="str">
        <f t="shared" si="209"/>
        <v>판타지 웹소설 &gt; 퓨전 판타지</v>
      </c>
    </row>
    <row r="1007" spans="1:48" x14ac:dyDescent="0.4">
      <c r="A1007">
        <v>2313007845</v>
      </c>
      <c r="B1007">
        <v>2313008054</v>
      </c>
      <c r="C1007" t="str">
        <f>T("간신이 나라를 살림 210화")</f>
        <v>간신이 나라를 살림 210화</v>
      </c>
      <c r="D1007" t="str">
        <f>T("210")</f>
        <v>210</v>
      </c>
      <c r="E1007" t="str">
        <f t="shared" si="210"/>
        <v>루이세</v>
      </c>
      <c r="H1007" t="str">
        <f t="shared" si="206"/>
        <v>스토리위즈</v>
      </c>
      <c r="I1007" t="str">
        <f t="shared" si="211"/>
        <v>간신이 나라를 살림</v>
      </c>
      <c r="J1007">
        <v>100</v>
      </c>
      <c r="K1007">
        <v>900</v>
      </c>
      <c r="L1007">
        <v>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900</v>
      </c>
      <c r="AH1007">
        <v>9</v>
      </c>
      <c r="AI1007">
        <v>0</v>
      </c>
      <c r="AJ1007">
        <v>0</v>
      </c>
      <c r="AK1007">
        <v>900</v>
      </c>
      <c r="AL1007">
        <v>0</v>
      </c>
      <c r="AM1007">
        <v>0</v>
      </c>
      <c r="AN1007">
        <v>0</v>
      </c>
      <c r="AO1007">
        <v>0</v>
      </c>
      <c r="AP1007">
        <v>630</v>
      </c>
      <c r="AT1007" t="str">
        <f t="shared" si="212"/>
        <v>9791159284663</v>
      </c>
      <c r="AV1007" t="str">
        <f t="shared" si="209"/>
        <v>판타지 웹소설 &gt; 퓨전 판타지</v>
      </c>
    </row>
    <row r="1008" spans="1:48" x14ac:dyDescent="0.4">
      <c r="A1008">
        <v>2313007845</v>
      </c>
      <c r="B1008">
        <v>2313008055</v>
      </c>
      <c r="C1008" t="str">
        <f>T("간신이 나라를 살림 211화")</f>
        <v>간신이 나라를 살림 211화</v>
      </c>
      <c r="D1008" t="str">
        <f>T("211")</f>
        <v>211</v>
      </c>
      <c r="E1008" t="str">
        <f t="shared" si="210"/>
        <v>루이세</v>
      </c>
      <c r="H1008" t="str">
        <f t="shared" si="206"/>
        <v>스토리위즈</v>
      </c>
      <c r="I1008" t="str">
        <f t="shared" si="211"/>
        <v>간신이 나라를 살림</v>
      </c>
      <c r="J1008">
        <v>100</v>
      </c>
      <c r="K1008">
        <v>900</v>
      </c>
      <c r="L1008">
        <v>9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900</v>
      </c>
      <c r="AH1008">
        <v>9</v>
      </c>
      <c r="AI1008">
        <v>0</v>
      </c>
      <c r="AJ1008">
        <v>0</v>
      </c>
      <c r="AK1008">
        <v>900</v>
      </c>
      <c r="AL1008">
        <v>0</v>
      </c>
      <c r="AM1008">
        <v>0</v>
      </c>
      <c r="AN1008">
        <v>0</v>
      </c>
      <c r="AO1008">
        <v>0</v>
      </c>
      <c r="AP1008">
        <v>630</v>
      </c>
      <c r="AT1008" t="str">
        <f t="shared" si="212"/>
        <v>9791159284663</v>
      </c>
      <c r="AV1008" t="str">
        <f t="shared" si="209"/>
        <v>판타지 웹소설 &gt; 퓨전 판타지</v>
      </c>
    </row>
    <row r="1009" spans="1:48" x14ac:dyDescent="0.4">
      <c r="A1009">
        <v>2313007845</v>
      </c>
      <c r="B1009">
        <v>2313008056</v>
      </c>
      <c r="C1009" t="str">
        <f>T("간신이 나라를 살림 212화")</f>
        <v>간신이 나라를 살림 212화</v>
      </c>
      <c r="D1009" t="str">
        <f>T("212")</f>
        <v>212</v>
      </c>
      <c r="E1009" t="str">
        <f t="shared" si="210"/>
        <v>루이세</v>
      </c>
      <c r="H1009" t="str">
        <f t="shared" si="206"/>
        <v>스토리위즈</v>
      </c>
      <c r="I1009" t="str">
        <f t="shared" si="211"/>
        <v>간신이 나라를 살림</v>
      </c>
      <c r="J1009">
        <v>100</v>
      </c>
      <c r="K1009">
        <v>900</v>
      </c>
      <c r="L1009">
        <v>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900</v>
      </c>
      <c r="AH1009">
        <v>9</v>
      </c>
      <c r="AI1009">
        <v>0</v>
      </c>
      <c r="AJ1009">
        <v>0</v>
      </c>
      <c r="AK1009">
        <v>900</v>
      </c>
      <c r="AL1009">
        <v>0</v>
      </c>
      <c r="AM1009">
        <v>0</v>
      </c>
      <c r="AN1009">
        <v>0</v>
      </c>
      <c r="AO1009">
        <v>0</v>
      </c>
      <c r="AP1009">
        <v>630</v>
      </c>
      <c r="AT1009" t="str">
        <f t="shared" si="212"/>
        <v>9791159284663</v>
      </c>
      <c r="AV1009" t="str">
        <f t="shared" si="209"/>
        <v>판타지 웹소설 &gt; 퓨전 판타지</v>
      </c>
    </row>
    <row r="1010" spans="1:48" x14ac:dyDescent="0.4">
      <c r="A1010">
        <v>2313007845</v>
      </c>
      <c r="B1010">
        <v>2313008057</v>
      </c>
      <c r="C1010" t="str">
        <f>T("간신이 나라를 살림 213화")</f>
        <v>간신이 나라를 살림 213화</v>
      </c>
      <c r="D1010" t="str">
        <f>T("213")</f>
        <v>213</v>
      </c>
      <c r="E1010" t="str">
        <f t="shared" si="210"/>
        <v>루이세</v>
      </c>
      <c r="H1010" t="str">
        <f t="shared" si="206"/>
        <v>스토리위즈</v>
      </c>
      <c r="I1010" t="str">
        <f t="shared" si="211"/>
        <v>간신이 나라를 살림</v>
      </c>
      <c r="J1010">
        <v>100</v>
      </c>
      <c r="K1010">
        <v>900</v>
      </c>
      <c r="L1010">
        <v>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900</v>
      </c>
      <c r="AH1010">
        <v>9</v>
      </c>
      <c r="AI1010">
        <v>0</v>
      </c>
      <c r="AJ1010">
        <v>0</v>
      </c>
      <c r="AK1010">
        <v>900</v>
      </c>
      <c r="AL1010">
        <v>0</v>
      </c>
      <c r="AM1010">
        <v>0</v>
      </c>
      <c r="AN1010">
        <v>0</v>
      </c>
      <c r="AO1010">
        <v>0</v>
      </c>
      <c r="AP1010">
        <v>630</v>
      </c>
      <c r="AT1010" t="str">
        <f t="shared" si="212"/>
        <v>9791159284663</v>
      </c>
      <c r="AV1010" t="str">
        <f t="shared" si="209"/>
        <v>판타지 웹소설 &gt; 퓨전 판타지</v>
      </c>
    </row>
    <row r="1011" spans="1:48" x14ac:dyDescent="0.4">
      <c r="A1011">
        <v>2313007845</v>
      </c>
      <c r="B1011">
        <v>2313008058</v>
      </c>
      <c r="C1011" t="str">
        <f>T("간신이 나라를 살림 214화")</f>
        <v>간신이 나라를 살림 214화</v>
      </c>
      <c r="D1011" t="str">
        <f>T("214")</f>
        <v>214</v>
      </c>
      <c r="E1011" t="str">
        <f t="shared" si="210"/>
        <v>루이세</v>
      </c>
      <c r="H1011" t="str">
        <f t="shared" si="206"/>
        <v>스토리위즈</v>
      </c>
      <c r="I1011" t="str">
        <f t="shared" si="211"/>
        <v>간신이 나라를 살림</v>
      </c>
      <c r="J1011">
        <v>100</v>
      </c>
      <c r="K1011">
        <v>900</v>
      </c>
      <c r="L1011">
        <v>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900</v>
      </c>
      <c r="AH1011">
        <v>9</v>
      </c>
      <c r="AI1011">
        <v>0</v>
      </c>
      <c r="AJ1011">
        <v>0</v>
      </c>
      <c r="AK1011">
        <v>900</v>
      </c>
      <c r="AL1011">
        <v>0</v>
      </c>
      <c r="AM1011">
        <v>0</v>
      </c>
      <c r="AN1011">
        <v>0</v>
      </c>
      <c r="AO1011">
        <v>0</v>
      </c>
      <c r="AP1011">
        <v>630</v>
      </c>
      <c r="AT1011" t="str">
        <f t="shared" si="212"/>
        <v>9791159284663</v>
      </c>
      <c r="AV1011" t="str">
        <f t="shared" si="209"/>
        <v>판타지 웹소설 &gt; 퓨전 판타지</v>
      </c>
    </row>
    <row r="1012" spans="1:48" x14ac:dyDescent="0.4">
      <c r="A1012">
        <v>2313007845</v>
      </c>
      <c r="B1012">
        <v>2313008059</v>
      </c>
      <c r="C1012" t="str">
        <f>T("간신이 나라를 살림 215화")</f>
        <v>간신이 나라를 살림 215화</v>
      </c>
      <c r="D1012" t="str">
        <f>T("215")</f>
        <v>215</v>
      </c>
      <c r="E1012" t="str">
        <f t="shared" si="210"/>
        <v>루이세</v>
      </c>
      <c r="H1012" t="str">
        <f t="shared" si="206"/>
        <v>스토리위즈</v>
      </c>
      <c r="I1012" t="str">
        <f t="shared" si="211"/>
        <v>간신이 나라를 살림</v>
      </c>
      <c r="J1012">
        <v>100</v>
      </c>
      <c r="K1012">
        <v>900</v>
      </c>
      <c r="L1012">
        <v>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900</v>
      </c>
      <c r="AH1012">
        <v>9</v>
      </c>
      <c r="AI1012">
        <v>0</v>
      </c>
      <c r="AJ1012">
        <v>0</v>
      </c>
      <c r="AK1012">
        <v>900</v>
      </c>
      <c r="AL1012">
        <v>0</v>
      </c>
      <c r="AM1012">
        <v>0</v>
      </c>
      <c r="AN1012">
        <v>0</v>
      </c>
      <c r="AO1012">
        <v>0</v>
      </c>
      <c r="AP1012">
        <v>630</v>
      </c>
      <c r="AT1012" t="str">
        <f t="shared" si="212"/>
        <v>9791159284663</v>
      </c>
      <c r="AV1012" t="str">
        <f t="shared" si="209"/>
        <v>판타지 웹소설 &gt; 퓨전 판타지</v>
      </c>
    </row>
    <row r="1013" spans="1:48" x14ac:dyDescent="0.4">
      <c r="A1013">
        <v>2313007845</v>
      </c>
      <c r="B1013">
        <v>2313008060</v>
      </c>
      <c r="C1013" t="str">
        <f>T("간신이 나라를 살림 216화")</f>
        <v>간신이 나라를 살림 216화</v>
      </c>
      <c r="D1013" t="str">
        <f>T("216")</f>
        <v>216</v>
      </c>
      <c r="E1013" t="str">
        <f t="shared" si="210"/>
        <v>루이세</v>
      </c>
      <c r="H1013" t="str">
        <f t="shared" si="206"/>
        <v>스토리위즈</v>
      </c>
      <c r="I1013" t="str">
        <f t="shared" si="211"/>
        <v>간신이 나라를 살림</v>
      </c>
      <c r="J1013">
        <v>100</v>
      </c>
      <c r="K1013">
        <v>900</v>
      </c>
      <c r="L1013">
        <v>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900</v>
      </c>
      <c r="AH1013">
        <v>9</v>
      </c>
      <c r="AI1013">
        <v>0</v>
      </c>
      <c r="AJ1013">
        <v>0</v>
      </c>
      <c r="AK1013">
        <v>900</v>
      </c>
      <c r="AL1013">
        <v>0</v>
      </c>
      <c r="AM1013">
        <v>0</v>
      </c>
      <c r="AN1013">
        <v>0</v>
      </c>
      <c r="AO1013">
        <v>0</v>
      </c>
      <c r="AP1013">
        <v>630</v>
      </c>
      <c r="AT1013" t="str">
        <f t="shared" si="212"/>
        <v>9791159284663</v>
      </c>
      <c r="AV1013" t="str">
        <f t="shared" si="209"/>
        <v>판타지 웹소설 &gt; 퓨전 판타지</v>
      </c>
    </row>
    <row r="1014" spans="1:48" x14ac:dyDescent="0.4">
      <c r="A1014">
        <v>2313007845</v>
      </c>
      <c r="B1014">
        <v>2313008061</v>
      </c>
      <c r="C1014" t="str">
        <f>T("간신이 나라를 살림 217화")</f>
        <v>간신이 나라를 살림 217화</v>
      </c>
      <c r="D1014" t="str">
        <f>T("217")</f>
        <v>217</v>
      </c>
      <c r="E1014" t="str">
        <f t="shared" si="210"/>
        <v>루이세</v>
      </c>
      <c r="H1014" t="str">
        <f t="shared" si="206"/>
        <v>스토리위즈</v>
      </c>
      <c r="I1014" t="str">
        <f t="shared" si="211"/>
        <v>간신이 나라를 살림</v>
      </c>
      <c r="J1014">
        <v>100</v>
      </c>
      <c r="K1014">
        <v>900</v>
      </c>
      <c r="L1014">
        <v>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900</v>
      </c>
      <c r="AH1014">
        <v>9</v>
      </c>
      <c r="AI1014">
        <v>0</v>
      </c>
      <c r="AJ1014">
        <v>0</v>
      </c>
      <c r="AK1014">
        <v>900</v>
      </c>
      <c r="AL1014">
        <v>0</v>
      </c>
      <c r="AM1014">
        <v>0</v>
      </c>
      <c r="AN1014">
        <v>0</v>
      </c>
      <c r="AO1014">
        <v>0</v>
      </c>
      <c r="AP1014">
        <v>630</v>
      </c>
      <c r="AT1014" t="str">
        <f t="shared" si="212"/>
        <v>9791159284663</v>
      </c>
      <c r="AV1014" t="str">
        <f t="shared" si="209"/>
        <v>판타지 웹소설 &gt; 퓨전 판타지</v>
      </c>
    </row>
    <row r="1015" spans="1:48" x14ac:dyDescent="0.4">
      <c r="A1015">
        <v>2313007845</v>
      </c>
      <c r="B1015">
        <v>2313008062</v>
      </c>
      <c r="C1015" t="str">
        <f>T("간신이 나라를 살림 218화")</f>
        <v>간신이 나라를 살림 218화</v>
      </c>
      <c r="D1015" t="str">
        <f>T("218")</f>
        <v>218</v>
      </c>
      <c r="E1015" t="str">
        <f t="shared" si="210"/>
        <v>루이세</v>
      </c>
      <c r="H1015" t="str">
        <f t="shared" si="206"/>
        <v>스토리위즈</v>
      </c>
      <c r="I1015" t="str">
        <f t="shared" si="211"/>
        <v>간신이 나라를 살림</v>
      </c>
      <c r="J1015">
        <v>100</v>
      </c>
      <c r="K1015">
        <v>900</v>
      </c>
      <c r="L1015">
        <v>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900</v>
      </c>
      <c r="AH1015">
        <v>9</v>
      </c>
      <c r="AI1015">
        <v>0</v>
      </c>
      <c r="AJ1015">
        <v>0</v>
      </c>
      <c r="AK1015">
        <v>900</v>
      </c>
      <c r="AL1015">
        <v>0</v>
      </c>
      <c r="AM1015">
        <v>0</v>
      </c>
      <c r="AN1015">
        <v>0</v>
      </c>
      <c r="AO1015">
        <v>0</v>
      </c>
      <c r="AP1015">
        <v>630</v>
      </c>
      <c r="AT1015" t="str">
        <f t="shared" si="212"/>
        <v>9791159284663</v>
      </c>
      <c r="AV1015" t="str">
        <f t="shared" si="209"/>
        <v>판타지 웹소설 &gt; 퓨전 판타지</v>
      </c>
    </row>
    <row r="1016" spans="1:48" x14ac:dyDescent="0.4">
      <c r="A1016">
        <v>2313007845</v>
      </c>
      <c r="B1016">
        <v>2313008063</v>
      </c>
      <c r="C1016" t="str">
        <f>T("간신이 나라를 살림 219화")</f>
        <v>간신이 나라를 살림 219화</v>
      </c>
      <c r="D1016" t="str">
        <f>T("219")</f>
        <v>219</v>
      </c>
      <c r="E1016" t="str">
        <f t="shared" si="210"/>
        <v>루이세</v>
      </c>
      <c r="H1016" t="str">
        <f t="shared" si="206"/>
        <v>스토리위즈</v>
      </c>
      <c r="I1016" t="str">
        <f t="shared" si="211"/>
        <v>간신이 나라를 살림</v>
      </c>
      <c r="J1016">
        <v>100</v>
      </c>
      <c r="K1016">
        <v>900</v>
      </c>
      <c r="L1016">
        <v>9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900</v>
      </c>
      <c r="AH1016">
        <v>9</v>
      </c>
      <c r="AI1016">
        <v>0</v>
      </c>
      <c r="AJ1016">
        <v>0</v>
      </c>
      <c r="AK1016">
        <v>900</v>
      </c>
      <c r="AL1016">
        <v>0</v>
      </c>
      <c r="AM1016">
        <v>0</v>
      </c>
      <c r="AN1016">
        <v>0</v>
      </c>
      <c r="AO1016">
        <v>0</v>
      </c>
      <c r="AP1016">
        <v>630</v>
      </c>
      <c r="AT1016" t="str">
        <f t="shared" si="212"/>
        <v>9791159284663</v>
      </c>
      <c r="AV1016" t="str">
        <f t="shared" si="209"/>
        <v>판타지 웹소설 &gt; 퓨전 판타지</v>
      </c>
    </row>
    <row r="1017" spans="1:48" x14ac:dyDescent="0.4">
      <c r="A1017">
        <v>2313007845</v>
      </c>
      <c r="B1017">
        <v>2313008065</v>
      </c>
      <c r="C1017" t="str">
        <f>T("간신이 나라를 살림 221화")</f>
        <v>간신이 나라를 살림 221화</v>
      </c>
      <c r="D1017" t="str">
        <f>T("221")</f>
        <v>221</v>
      </c>
      <c r="E1017" t="str">
        <f t="shared" si="210"/>
        <v>루이세</v>
      </c>
      <c r="H1017" t="str">
        <f t="shared" si="206"/>
        <v>스토리위즈</v>
      </c>
      <c r="I1017" t="str">
        <f t="shared" si="211"/>
        <v>간신이 나라를 살림</v>
      </c>
      <c r="J1017">
        <v>100</v>
      </c>
      <c r="K1017">
        <v>900</v>
      </c>
      <c r="L1017">
        <v>9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900</v>
      </c>
      <c r="AH1017">
        <v>9</v>
      </c>
      <c r="AI1017">
        <v>0</v>
      </c>
      <c r="AJ1017">
        <v>0</v>
      </c>
      <c r="AK1017">
        <v>900</v>
      </c>
      <c r="AL1017">
        <v>0</v>
      </c>
      <c r="AM1017">
        <v>0</v>
      </c>
      <c r="AN1017">
        <v>0</v>
      </c>
      <c r="AO1017">
        <v>0</v>
      </c>
      <c r="AP1017">
        <v>630</v>
      </c>
      <c r="AT1017" t="str">
        <f t="shared" si="212"/>
        <v>9791159284663</v>
      </c>
      <c r="AV1017" t="str">
        <f t="shared" si="209"/>
        <v>판타지 웹소설 &gt; 퓨전 판타지</v>
      </c>
    </row>
    <row r="1018" spans="1:48" x14ac:dyDescent="0.4">
      <c r="A1018">
        <v>2313007845</v>
      </c>
      <c r="B1018">
        <v>2313008066</v>
      </c>
      <c r="C1018" t="str">
        <f>T("간신이 나라를 살림 222화")</f>
        <v>간신이 나라를 살림 222화</v>
      </c>
      <c r="D1018" t="str">
        <f>T("222")</f>
        <v>222</v>
      </c>
      <c r="E1018" t="str">
        <f t="shared" si="210"/>
        <v>루이세</v>
      </c>
      <c r="H1018" t="str">
        <f t="shared" si="206"/>
        <v>스토리위즈</v>
      </c>
      <c r="I1018" t="str">
        <f t="shared" si="211"/>
        <v>간신이 나라를 살림</v>
      </c>
      <c r="J1018">
        <v>100</v>
      </c>
      <c r="K1018">
        <v>900</v>
      </c>
      <c r="L1018">
        <v>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900</v>
      </c>
      <c r="AH1018">
        <v>9</v>
      </c>
      <c r="AI1018">
        <v>0</v>
      </c>
      <c r="AJ1018">
        <v>0</v>
      </c>
      <c r="AK1018">
        <v>900</v>
      </c>
      <c r="AL1018">
        <v>0</v>
      </c>
      <c r="AM1018">
        <v>0</v>
      </c>
      <c r="AN1018">
        <v>0</v>
      </c>
      <c r="AO1018">
        <v>0</v>
      </c>
      <c r="AP1018">
        <v>630</v>
      </c>
      <c r="AT1018" t="str">
        <f t="shared" si="212"/>
        <v>9791159284663</v>
      </c>
      <c r="AV1018" t="str">
        <f t="shared" si="209"/>
        <v>판타지 웹소설 &gt; 퓨전 판타지</v>
      </c>
    </row>
    <row r="1019" spans="1:48" x14ac:dyDescent="0.4">
      <c r="A1019">
        <v>2313007845</v>
      </c>
      <c r="B1019">
        <v>2313008067</v>
      </c>
      <c r="C1019" t="str">
        <f>T("간신이 나라를 살림 223화")</f>
        <v>간신이 나라를 살림 223화</v>
      </c>
      <c r="D1019" t="str">
        <f>T("223")</f>
        <v>223</v>
      </c>
      <c r="E1019" t="str">
        <f t="shared" si="210"/>
        <v>루이세</v>
      </c>
      <c r="H1019" t="str">
        <f t="shared" si="206"/>
        <v>스토리위즈</v>
      </c>
      <c r="I1019" t="str">
        <f t="shared" si="211"/>
        <v>간신이 나라를 살림</v>
      </c>
      <c r="J1019">
        <v>100</v>
      </c>
      <c r="K1019">
        <v>900</v>
      </c>
      <c r="L1019">
        <v>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900</v>
      </c>
      <c r="AH1019">
        <v>9</v>
      </c>
      <c r="AI1019">
        <v>0</v>
      </c>
      <c r="AJ1019">
        <v>0</v>
      </c>
      <c r="AK1019">
        <v>900</v>
      </c>
      <c r="AL1019">
        <v>0</v>
      </c>
      <c r="AM1019">
        <v>0</v>
      </c>
      <c r="AN1019">
        <v>0</v>
      </c>
      <c r="AO1019">
        <v>0</v>
      </c>
      <c r="AP1019">
        <v>630</v>
      </c>
      <c r="AT1019" t="str">
        <f t="shared" si="212"/>
        <v>9791159284663</v>
      </c>
      <c r="AV1019" t="str">
        <f t="shared" si="209"/>
        <v>판타지 웹소설 &gt; 퓨전 판타지</v>
      </c>
    </row>
    <row r="1020" spans="1:48" x14ac:dyDescent="0.4">
      <c r="A1020">
        <v>2313007845</v>
      </c>
      <c r="B1020">
        <v>2313008069</v>
      </c>
      <c r="C1020" t="str">
        <f>T("간신이 나라를 살림 225화")</f>
        <v>간신이 나라를 살림 225화</v>
      </c>
      <c r="D1020" t="str">
        <f>T("225")</f>
        <v>225</v>
      </c>
      <c r="E1020" t="str">
        <f t="shared" si="210"/>
        <v>루이세</v>
      </c>
      <c r="H1020" t="str">
        <f t="shared" si="206"/>
        <v>스토리위즈</v>
      </c>
      <c r="I1020" t="str">
        <f t="shared" si="211"/>
        <v>간신이 나라를 살림</v>
      </c>
      <c r="J1020">
        <v>100</v>
      </c>
      <c r="K1020">
        <v>900</v>
      </c>
      <c r="L1020">
        <v>9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900</v>
      </c>
      <c r="AH1020">
        <v>9</v>
      </c>
      <c r="AI1020">
        <v>0</v>
      </c>
      <c r="AJ1020">
        <v>0</v>
      </c>
      <c r="AK1020">
        <v>900</v>
      </c>
      <c r="AL1020">
        <v>0</v>
      </c>
      <c r="AM1020">
        <v>0</v>
      </c>
      <c r="AN1020">
        <v>0</v>
      </c>
      <c r="AO1020">
        <v>0</v>
      </c>
      <c r="AP1020">
        <v>630</v>
      </c>
      <c r="AT1020" t="str">
        <f t="shared" si="212"/>
        <v>9791159284663</v>
      </c>
      <c r="AV1020" t="str">
        <f t="shared" si="209"/>
        <v>판타지 웹소설 &gt; 퓨전 판타지</v>
      </c>
    </row>
    <row r="1021" spans="1:48" x14ac:dyDescent="0.4">
      <c r="A1021">
        <v>2313007845</v>
      </c>
      <c r="B1021">
        <v>2313008070</v>
      </c>
      <c r="C1021" t="str">
        <f>T("간신이 나라를 살림 226화")</f>
        <v>간신이 나라를 살림 226화</v>
      </c>
      <c r="D1021" t="str">
        <f>T("226")</f>
        <v>226</v>
      </c>
      <c r="E1021" t="str">
        <f t="shared" si="210"/>
        <v>루이세</v>
      </c>
      <c r="H1021" t="str">
        <f t="shared" si="206"/>
        <v>스토리위즈</v>
      </c>
      <c r="I1021" t="str">
        <f t="shared" si="211"/>
        <v>간신이 나라를 살림</v>
      </c>
      <c r="J1021">
        <v>100</v>
      </c>
      <c r="K1021">
        <v>900</v>
      </c>
      <c r="L1021">
        <v>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900</v>
      </c>
      <c r="AH1021">
        <v>9</v>
      </c>
      <c r="AI1021">
        <v>0</v>
      </c>
      <c r="AJ1021">
        <v>0</v>
      </c>
      <c r="AK1021">
        <v>900</v>
      </c>
      <c r="AL1021">
        <v>0</v>
      </c>
      <c r="AM1021">
        <v>0</v>
      </c>
      <c r="AN1021">
        <v>0</v>
      </c>
      <c r="AO1021">
        <v>0</v>
      </c>
      <c r="AP1021">
        <v>630</v>
      </c>
      <c r="AT1021" t="str">
        <f t="shared" si="212"/>
        <v>9791159284663</v>
      </c>
      <c r="AV1021" t="str">
        <f t="shared" si="209"/>
        <v>판타지 웹소설 &gt; 퓨전 판타지</v>
      </c>
    </row>
    <row r="1022" spans="1:48" x14ac:dyDescent="0.4">
      <c r="A1022">
        <v>2313007845</v>
      </c>
      <c r="B1022">
        <v>2313008071</v>
      </c>
      <c r="C1022" t="str">
        <f>T("간신이 나라를 살림 227화")</f>
        <v>간신이 나라를 살림 227화</v>
      </c>
      <c r="D1022" t="str">
        <f>T("227")</f>
        <v>227</v>
      </c>
      <c r="E1022" t="str">
        <f t="shared" si="210"/>
        <v>루이세</v>
      </c>
      <c r="H1022" t="str">
        <f t="shared" si="206"/>
        <v>스토리위즈</v>
      </c>
      <c r="I1022" t="str">
        <f t="shared" si="211"/>
        <v>간신이 나라를 살림</v>
      </c>
      <c r="J1022">
        <v>100</v>
      </c>
      <c r="K1022">
        <v>900</v>
      </c>
      <c r="L1022">
        <v>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900</v>
      </c>
      <c r="AH1022">
        <v>9</v>
      </c>
      <c r="AI1022">
        <v>0</v>
      </c>
      <c r="AJ1022">
        <v>0</v>
      </c>
      <c r="AK1022">
        <v>900</v>
      </c>
      <c r="AL1022">
        <v>0</v>
      </c>
      <c r="AM1022">
        <v>0</v>
      </c>
      <c r="AN1022">
        <v>0</v>
      </c>
      <c r="AO1022">
        <v>0</v>
      </c>
      <c r="AP1022">
        <v>630</v>
      </c>
      <c r="AT1022" t="str">
        <f t="shared" si="212"/>
        <v>9791159284663</v>
      </c>
      <c r="AV1022" t="str">
        <f t="shared" si="209"/>
        <v>판타지 웹소설 &gt; 퓨전 판타지</v>
      </c>
    </row>
    <row r="1023" spans="1:48" x14ac:dyDescent="0.4">
      <c r="A1023">
        <v>2313007845</v>
      </c>
      <c r="B1023">
        <v>2313008072</v>
      </c>
      <c r="C1023" t="str">
        <f>T("간신이 나라를 살림 228화")</f>
        <v>간신이 나라를 살림 228화</v>
      </c>
      <c r="D1023" t="str">
        <f>T("228")</f>
        <v>228</v>
      </c>
      <c r="E1023" t="str">
        <f t="shared" si="210"/>
        <v>루이세</v>
      </c>
      <c r="H1023" t="str">
        <f t="shared" si="206"/>
        <v>스토리위즈</v>
      </c>
      <c r="I1023" t="str">
        <f t="shared" si="211"/>
        <v>간신이 나라를 살림</v>
      </c>
      <c r="J1023">
        <v>100</v>
      </c>
      <c r="K1023">
        <v>900</v>
      </c>
      <c r="L1023">
        <v>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900</v>
      </c>
      <c r="AH1023">
        <v>9</v>
      </c>
      <c r="AI1023">
        <v>0</v>
      </c>
      <c r="AJ1023">
        <v>0</v>
      </c>
      <c r="AK1023">
        <v>900</v>
      </c>
      <c r="AL1023">
        <v>0</v>
      </c>
      <c r="AM1023">
        <v>0</v>
      </c>
      <c r="AN1023">
        <v>0</v>
      </c>
      <c r="AO1023">
        <v>0</v>
      </c>
      <c r="AP1023">
        <v>630</v>
      </c>
      <c r="AT1023" t="str">
        <f t="shared" si="212"/>
        <v>9791159284663</v>
      </c>
      <c r="AV1023" t="str">
        <f t="shared" si="209"/>
        <v>판타지 웹소설 &gt; 퓨전 판타지</v>
      </c>
    </row>
    <row r="1024" spans="1:48" x14ac:dyDescent="0.4">
      <c r="A1024">
        <v>2313007845</v>
      </c>
      <c r="B1024">
        <v>2313008073</v>
      </c>
      <c r="C1024" t="str">
        <f>T("간신이 나라를 살림 229화")</f>
        <v>간신이 나라를 살림 229화</v>
      </c>
      <c r="D1024" t="str">
        <f>T("229")</f>
        <v>229</v>
      </c>
      <c r="E1024" t="str">
        <f t="shared" si="210"/>
        <v>루이세</v>
      </c>
      <c r="H1024" t="str">
        <f t="shared" si="206"/>
        <v>스토리위즈</v>
      </c>
      <c r="I1024" t="str">
        <f t="shared" si="211"/>
        <v>간신이 나라를 살림</v>
      </c>
      <c r="J1024">
        <v>100</v>
      </c>
      <c r="K1024">
        <v>900</v>
      </c>
      <c r="L1024">
        <v>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900</v>
      </c>
      <c r="AH1024">
        <v>9</v>
      </c>
      <c r="AI1024">
        <v>0</v>
      </c>
      <c r="AJ1024">
        <v>0</v>
      </c>
      <c r="AK1024">
        <v>900</v>
      </c>
      <c r="AL1024">
        <v>0</v>
      </c>
      <c r="AM1024">
        <v>0</v>
      </c>
      <c r="AN1024">
        <v>0</v>
      </c>
      <c r="AO1024">
        <v>0</v>
      </c>
      <c r="AP1024">
        <v>630</v>
      </c>
      <c r="AT1024" t="str">
        <f t="shared" si="212"/>
        <v>9791159284663</v>
      </c>
      <c r="AV1024" t="str">
        <f t="shared" si="209"/>
        <v>판타지 웹소설 &gt; 퓨전 판타지</v>
      </c>
    </row>
    <row r="1025" spans="1:48" x14ac:dyDescent="0.4">
      <c r="A1025">
        <v>2313007845</v>
      </c>
      <c r="B1025">
        <v>2313008074</v>
      </c>
      <c r="C1025" t="str">
        <f>T("간신이 나라를 살림 230화")</f>
        <v>간신이 나라를 살림 230화</v>
      </c>
      <c r="D1025" t="str">
        <f>T("230")</f>
        <v>230</v>
      </c>
      <c r="E1025" t="str">
        <f t="shared" si="210"/>
        <v>루이세</v>
      </c>
      <c r="H1025" t="str">
        <f t="shared" si="206"/>
        <v>스토리위즈</v>
      </c>
      <c r="I1025" t="str">
        <f t="shared" si="211"/>
        <v>간신이 나라를 살림</v>
      </c>
      <c r="J1025">
        <v>100</v>
      </c>
      <c r="K1025">
        <v>900</v>
      </c>
      <c r="L1025">
        <v>9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900</v>
      </c>
      <c r="AH1025">
        <v>9</v>
      </c>
      <c r="AI1025">
        <v>0</v>
      </c>
      <c r="AJ1025">
        <v>0</v>
      </c>
      <c r="AK1025">
        <v>900</v>
      </c>
      <c r="AL1025">
        <v>0</v>
      </c>
      <c r="AM1025">
        <v>0</v>
      </c>
      <c r="AN1025">
        <v>0</v>
      </c>
      <c r="AO1025">
        <v>0</v>
      </c>
      <c r="AP1025">
        <v>630</v>
      </c>
      <c r="AT1025" t="str">
        <f t="shared" si="212"/>
        <v>9791159284663</v>
      </c>
      <c r="AV1025" t="str">
        <f t="shared" si="209"/>
        <v>판타지 웹소설 &gt; 퓨전 판타지</v>
      </c>
    </row>
    <row r="1026" spans="1:48" x14ac:dyDescent="0.4">
      <c r="A1026">
        <v>2313007845</v>
      </c>
      <c r="B1026">
        <v>2313008075</v>
      </c>
      <c r="C1026" t="str">
        <f>T("간신이 나라를 살림 231화")</f>
        <v>간신이 나라를 살림 231화</v>
      </c>
      <c r="D1026" t="str">
        <f>T("231")</f>
        <v>231</v>
      </c>
      <c r="E1026" t="str">
        <f t="shared" si="210"/>
        <v>루이세</v>
      </c>
      <c r="H1026" t="str">
        <f t="shared" si="206"/>
        <v>스토리위즈</v>
      </c>
      <c r="I1026" t="str">
        <f t="shared" si="211"/>
        <v>간신이 나라를 살림</v>
      </c>
      <c r="J1026">
        <v>100</v>
      </c>
      <c r="K1026">
        <v>900</v>
      </c>
      <c r="L1026">
        <v>9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900</v>
      </c>
      <c r="AH1026">
        <v>9</v>
      </c>
      <c r="AI1026">
        <v>0</v>
      </c>
      <c r="AJ1026">
        <v>0</v>
      </c>
      <c r="AK1026">
        <v>900</v>
      </c>
      <c r="AL1026">
        <v>0</v>
      </c>
      <c r="AM1026">
        <v>0</v>
      </c>
      <c r="AN1026">
        <v>0</v>
      </c>
      <c r="AO1026">
        <v>0</v>
      </c>
      <c r="AP1026">
        <v>630</v>
      </c>
      <c r="AT1026" t="str">
        <f t="shared" si="212"/>
        <v>9791159284663</v>
      </c>
      <c r="AV1026" t="str">
        <f t="shared" si="209"/>
        <v>판타지 웹소설 &gt; 퓨전 판타지</v>
      </c>
    </row>
    <row r="1027" spans="1:48" x14ac:dyDescent="0.4">
      <c r="A1027">
        <v>2313007845</v>
      </c>
      <c r="B1027">
        <v>2313008076</v>
      </c>
      <c r="C1027" t="str">
        <f>T("간신이 나라를 살림 232화")</f>
        <v>간신이 나라를 살림 232화</v>
      </c>
      <c r="D1027" t="str">
        <f>T("232")</f>
        <v>232</v>
      </c>
      <c r="E1027" t="str">
        <f t="shared" si="210"/>
        <v>루이세</v>
      </c>
      <c r="H1027" t="str">
        <f t="shared" si="206"/>
        <v>스토리위즈</v>
      </c>
      <c r="I1027" t="str">
        <f t="shared" si="211"/>
        <v>간신이 나라를 살림</v>
      </c>
      <c r="J1027">
        <v>100</v>
      </c>
      <c r="K1027">
        <v>900</v>
      </c>
      <c r="L1027">
        <v>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900</v>
      </c>
      <c r="AH1027">
        <v>9</v>
      </c>
      <c r="AI1027">
        <v>0</v>
      </c>
      <c r="AJ1027">
        <v>0</v>
      </c>
      <c r="AK1027">
        <v>900</v>
      </c>
      <c r="AL1027">
        <v>0</v>
      </c>
      <c r="AM1027">
        <v>0</v>
      </c>
      <c r="AN1027">
        <v>0</v>
      </c>
      <c r="AO1027">
        <v>0</v>
      </c>
      <c r="AP1027">
        <v>630</v>
      </c>
      <c r="AT1027" t="str">
        <f t="shared" si="212"/>
        <v>9791159284663</v>
      </c>
      <c r="AV1027" t="str">
        <f t="shared" si="209"/>
        <v>판타지 웹소설 &gt; 퓨전 판타지</v>
      </c>
    </row>
    <row r="1028" spans="1:48" x14ac:dyDescent="0.4">
      <c r="A1028">
        <v>2313007845</v>
      </c>
      <c r="B1028">
        <v>2313008079</v>
      </c>
      <c r="C1028" t="str">
        <f>T("간신이 나라를 살림 235화")</f>
        <v>간신이 나라를 살림 235화</v>
      </c>
      <c r="D1028" t="str">
        <f>T("235")</f>
        <v>235</v>
      </c>
      <c r="E1028" t="str">
        <f t="shared" si="210"/>
        <v>루이세</v>
      </c>
      <c r="H1028" t="str">
        <f t="shared" si="206"/>
        <v>스토리위즈</v>
      </c>
      <c r="I1028" t="str">
        <f t="shared" si="211"/>
        <v>간신이 나라를 살림</v>
      </c>
      <c r="J1028">
        <v>100</v>
      </c>
      <c r="K1028">
        <v>900</v>
      </c>
      <c r="L1028">
        <v>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900</v>
      </c>
      <c r="AH1028">
        <v>9</v>
      </c>
      <c r="AI1028">
        <v>0</v>
      </c>
      <c r="AJ1028">
        <v>0</v>
      </c>
      <c r="AK1028">
        <v>900</v>
      </c>
      <c r="AL1028">
        <v>0</v>
      </c>
      <c r="AM1028">
        <v>0</v>
      </c>
      <c r="AN1028">
        <v>0</v>
      </c>
      <c r="AO1028">
        <v>0</v>
      </c>
      <c r="AP1028">
        <v>630</v>
      </c>
      <c r="AT1028" t="str">
        <f t="shared" si="212"/>
        <v>9791159284663</v>
      </c>
      <c r="AV1028" t="str">
        <f t="shared" si="209"/>
        <v>판타지 웹소설 &gt; 퓨전 판타지</v>
      </c>
    </row>
    <row r="1029" spans="1:48" x14ac:dyDescent="0.4">
      <c r="A1029">
        <v>2313007845</v>
      </c>
      <c r="B1029">
        <v>2313008081</v>
      </c>
      <c r="C1029" t="str">
        <f>T("간신이 나라를 살림 237화")</f>
        <v>간신이 나라를 살림 237화</v>
      </c>
      <c r="D1029" t="str">
        <f>T("237")</f>
        <v>237</v>
      </c>
      <c r="E1029" t="str">
        <f t="shared" si="210"/>
        <v>루이세</v>
      </c>
      <c r="H1029" t="str">
        <f t="shared" si="206"/>
        <v>스토리위즈</v>
      </c>
      <c r="I1029" t="str">
        <f t="shared" si="211"/>
        <v>간신이 나라를 살림</v>
      </c>
      <c r="J1029">
        <v>100</v>
      </c>
      <c r="K1029">
        <v>900</v>
      </c>
      <c r="L1029">
        <v>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900</v>
      </c>
      <c r="AH1029">
        <v>9</v>
      </c>
      <c r="AI1029">
        <v>0</v>
      </c>
      <c r="AJ1029">
        <v>0</v>
      </c>
      <c r="AK1029">
        <v>900</v>
      </c>
      <c r="AL1029">
        <v>0</v>
      </c>
      <c r="AM1029">
        <v>0</v>
      </c>
      <c r="AN1029">
        <v>0</v>
      </c>
      <c r="AO1029">
        <v>0</v>
      </c>
      <c r="AP1029">
        <v>630</v>
      </c>
      <c r="AT1029" t="str">
        <f t="shared" si="212"/>
        <v>9791159284663</v>
      </c>
      <c r="AV1029" t="str">
        <f t="shared" si="209"/>
        <v>판타지 웹소설 &gt; 퓨전 판타지</v>
      </c>
    </row>
    <row r="1030" spans="1:48" x14ac:dyDescent="0.4">
      <c r="A1030">
        <v>2313007845</v>
      </c>
      <c r="B1030">
        <v>2313008094</v>
      </c>
      <c r="C1030" t="str">
        <f>T("간신이 나라를 살림 250화")</f>
        <v>간신이 나라를 살림 250화</v>
      </c>
      <c r="D1030" t="str">
        <f>T("250")</f>
        <v>250</v>
      </c>
      <c r="E1030" t="str">
        <f t="shared" si="210"/>
        <v>루이세</v>
      </c>
      <c r="H1030" t="str">
        <f t="shared" si="206"/>
        <v>스토리위즈</v>
      </c>
      <c r="I1030" t="str">
        <f t="shared" si="211"/>
        <v>간신이 나라를 살림</v>
      </c>
      <c r="J1030">
        <v>100</v>
      </c>
      <c r="K1030">
        <v>900</v>
      </c>
      <c r="L1030">
        <v>9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900</v>
      </c>
      <c r="AH1030">
        <v>9</v>
      </c>
      <c r="AI1030">
        <v>0</v>
      </c>
      <c r="AJ1030">
        <v>0</v>
      </c>
      <c r="AK1030">
        <v>900</v>
      </c>
      <c r="AL1030">
        <v>0</v>
      </c>
      <c r="AM1030">
        <v>0</v>
      </c>
      <c r="AN1030">
        <v>0</v>
      </c>
      <c r="AO1030">
        <v>0</v>
      </c>
      <c r="AP1030">
        <v>630</v>
      </c>
      <c r="AT1030" t="str">
        <f t="shared" si="212"/>
        <v>9791159284663</v>
      </c>
      <c r="AV1030" t="str">
        <f t="shared" si="209"/>
        <v>판타지 웹소설 &gt; 퓨전 판타지</v>
      </c>
    </row>
    <row r="1031" spans="1:48" x14ac:dyDescent="0.4">
      <c r="A1031">
        <v>2313011955</v>
      </c>
      <c r="B1031">
        <v>2313012011</v>
      </c>
      <c r="C1031" t="str">
        <f>T("갓 오브 블랙필드 57화")</f>
        <v>갓 오브 블랙필드 57화</v>
      </c>
      <c r="D1031" t="str">
        <f>T("57")</f>
        <v>57</v>
      </c>
      <c r="E1031" t="str">
        <f t="shared" ref="E1031:E1073" si="213">T("무장")</f>
        <v>무장</v>
      </c>
      <c r="H1031" t="str">
        <f t="shared" si="206"/>
        <v>스토리위즈</v>
      </c>
      <c r="I1031" t="str">
        <f t="shared" ref="I1031:I1073" si="214">T("갓 오브 블랙필드")</f>
        <v>갓 오브 블랙필드</v>
      </c>
      <c r="J1031">
        <v>100</v>
      </c>
      <c r="K1031">
        <v>900</v>
      </c>
      <c r="L1031">
        <v>9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900</v>
      </c>
      <c r="AH1031">
        <v>9</v>
      </c>
      <c r="AI1031">
        <v>0</v>
      </c>
      <c r="AJ1031">
        <v>0</v>
      </c>
      <c r="AK1031">
        <v>900</v>
      </c>
      <c r="AL1031">
        <v>0</v>
      </c>
      <c r="AM1031">
        <v>0</v>
      </c>
      <c r="AN1031">
        <v>0</v>
      </c>
      <c r="AO1031">
        <v>0</v>
      </c>
      <c r="AP1031">
        <v>630</v>
      </c>
      <c r="AT1031" t="str">
        <f t="shared" ref="AT1031:AT1073" si="215">T("9791137602113")</f>
        <v>9791137602113</v>
      </c>
      <c r="AV1031" t="str">
        <f t="shared" ref="AV1031:AV1073" si="216">T("판타지 웹소설 &gt; 현대 판타지")</f>
        <v>판타지 웹소설 &gt; 현대 판타지</v>
      </c>
    </row>
    <row r="1032" spans="1:48" x14ac:dyDescent="0.4">
      <c r="A1032">
        <v>2313011955</v>
      </c>
      <c r="B1032">
        <v>2313012012</v>
      </c>
      <c r="C1032" t="str">
        <f>T("갓 오브 블랙필드 58화")</f>
        <v>갓 오브 블랙필드 58화</v>
      </c>
      <c r="D1032" t="str">
        <f>T("58")</f>
        <v>58</v>
      </c>
      <c r="E1032" t="str">
        <f t="shared" si="213"/>
        <v>무장</v>
      </c>
      <c r="H1032" t="str">
        <f t="shared" si="206"/>
        <v>스토리위즈</v>
      </c>
      <c r="I1032" t="str">
        <f t="shared" si="214"/>
        <v>갓 오브 블랙필드</v>
      </c>
      <c r="J1032">
        <v>100</v>
      </c>
      <c r="K1032">
        <v>900</v>
      </c>
      <c r="L1032">
        <v>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900</v>
      </c>
      <c r="AH1032">
        <v>9</v>
      </c>
      <c r="AI1032">
        <v>0</v>
      </c>
      <c r="AJ1032">
        <v>0</v>
      </c>
      <c r="AK1032">
        <v>900</v>
      </c>
      <c r="AL1032">
        <v>0</v>
      </c>
      <c r="AM1032">
        <v>0</v>
      </c>
      <c r="AN1032">
        <v>0</v>
      </c>
      <c r="AO1032">
        <v>0</v>
      </c>
      <c r="AP1032">
        <v>630</v>
      </c>
      <c r="AT1032" t="str">
        <f t="shared" si="215"/>
        <v>9791137602113</v>
      </c>
      <c r="AV1032" t="str">
        <f t="shared" si="216"/>
        <v>판타지 웹소설 &gt; 현대 판타지</v>
      </c>
    </row>
    <row r="1033" spans="1:48" x14ac:dyDescent="0.4">
      <c r="A1033">
        <v>2313011955</v>
      </c>
      <c r="B1033">
        <v>2313012013</v>
      </c>
      <c r="C1033" t="str">
        <f>T("갓 오브 블랙필드 59화")</f>
        <v>갓 오브 블랙필드 59화</v>
      </c>
      <c r="D1033" t="str">
        <f>T("59")</f>
        <v>59</v>
      </c>
      <c r="E1033" t="str">
        <f t="shared" si="213"/>
        <v>무장</v>
      </c>
      <c r="H1033" t="str">
        <f t="shared" si="206"/>
        <v>스토리위즈</v>
      </c>
      <c r="I1033" t="str">
        <f t="shared" si="214"/>
        <v>갓 오브 블랙필드</v>
      </c>
      <c r="J1033">
        <v>100</v>
      </c>
      <c r="K1033">
        <v>900</v>
      </c>
      <c r="L1033">
        <v>9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900</v>
      </c>
      <c r="AH1033">
        <v>9</v>
      </c>
      <c r="AI1033">
        <v>0</v>
      </c>
      <c r="AJ1033">
        <v>0</v>
      </c>
      <c r="AK1033">
        <v>900</v>
      </c>
      <c r="AL1033">
        <v>0</v>
      </c>
      <c r="AM1033">
        <v>0</v>
      </c>
      <c r="AN1033">
        <v>0</v>
      </c>
      <c r="AO1033">
        <v>0</v>
      </c>
      <c r="AP1033">
        <v>630</v>
      </c>
      <c r="AT1033" t="str">
        <f t="shared" si="215"/>
        <v>9791137602113</v>
      </c>
      <c r="AV1033" t="str">
        <f t="shared" si="216"/>
        <v>판타지 웹소설 &gt; 현대 판타지</v>
      </c>
    </row>
    <row r="1034" spans="1:48" x14ac:dyDescent="0.4">
      <c r="A1034">
        <v>2313011955</v>
      </c>
      <c r="B1034">
        <v>2313012014</v>
      </c>
      <c r="C1034" t="str">
        <f>T("갓 오브 블랙필드 60화")</f>
        <v>갓 오브 블랙필드 60화</v>
      </c>
      <c r="D1034" t="str">
        <f>T("60")</f>
        <v>60</v>
      </c>
      <c r="E1034" t="str">
        <f t="shared" si="213"/>
        <v>무장</v>
      </c>
      <c r="H1034" t="str">
        <f t="shared" si="206"/>
        <v>스토리위즈</v>
      </c>
      <c r="I1034" t="str">
        <f t="shared" si="214"/>
        <v>갓 오브 블랙필드</v>
      </c>
      <c r="J1034">
        <v>100</v>
      </c>
      <c r="K1034">
        <v>900</v>
      </c>
      <c r="L1034">
        <v>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900</v>
      </c>
      <c r="AH1034">
        <v>9</v>
      </c>
      <c r="AI1034">
        <v>0</v>
      </c>
      <c r="AJ1034">
        <v>0</v>
      </c>
      <c r="AK1034">
        <v>900</v>
      </c>
      <c r="AL1034">
        <v>0</v>
      </c>
      <c r="AM1034">
        <v>0</v>
      </c>
      <c r="AN1034">
        <v>0</v>
      </c>
      <c r="AO1034">
        <v>0</v>
      </c>
      <c r="AP1034">
        <v>630</v>
      </c>
      <c r="AT1034" t="str">
        <f t="shared" si="215"/>
        <v>9791137602113</v>
      </c>
      <c r="AV1034" t="str">
        <f t="shared" si="216"/>
        <v>판타지 웹소설 &gt; 현대 판타지</v>
      </c>
    </row>
    <row r="1035" spans="1:48" x14ac:dyDescent="0.4">
      <c r="A1035">
        <v>2313011955</v>
      </c>
      <c r="B1035">
        <v>2313012015</v>
      </c>
      <c r="C1035" t="str">
        <f>T("갓 오브 블랙필드 61화")</f>
        <v>갓 오브 블랙필드 61화</v>
      </c>
      <c r="D1035" t="str">
        <f>T("61")</f>
        <v>61</v>
      </c>
      <c r="E1035" t="str">
        <f t="shared" si="213"/>
        <v>무장</v>
      </c>
      <c r="H1035" t="str">
        <f t="shared" si="206"/>
        <v>스토리위즈</v>
      </c>
      <c r="I1035" t="str">
        <f t="shared" si="214"/>
        <v>갓 오브 블랙필드</v>
      </c>
      <c r="J1035">
        <v>100</v>
      </c>
      <c r="K1035">
        <v>900</v>
      </c>
      <c r="L1035">
        <v>9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900</v>
      </c>
      <c r="AH1035">
        <v>9</v>
      </c>
      <c r="AI1035">
        <v>0</v>
      </c>
      <c r="AJ1035">
        <v>0</v>
      </c>
      <c r="AK1035">
        <v>900</v>
      </c>
      <c r="AL1035">
        <v>0</v>
      </c>
      <c r="AM1035">
        <v>0</v>
      </c>
      <c r="AN1035">
        <v>0</v>
      </c>
      <c r="AO1035">
        <v>0</v>
      </c>
      <c r="AP1035">
        <v>630</v>
      </c>
      <c r="AT1035" t="str">
        <f t="shared" si="215"/>
        <v>9791137602113</v>
      </c>
      <c r="AV1035" t="str">
        <f t="shared" si="216"/>
        <v>판타지 웹소설 &gt; 현대 판타지</v>
      </c>
    </row>
    <row r="1036" spans="1:48" x14ac:dyDescent="0.4">
      <c r="A1036">
        <v>2313011955</v>
      </c>
      <c r="B1036">
        <v>2313012017</v>
      </c>
      <c r="C1036" t="str">
        <f>T("갓 오브 블랙필드 63화")</f>
        <v>갓 오브 블랙필드 63화</v>
      </c>
      <c r="D1036" t="str">
        <f>T("63")</f>
        <v>63</v>
      </c>
      <c r="E1036" t="str">
        <f t="shared" si="213"/>
        <v>무장</v>
      </c>
      <c r="H1036" t="str">
        <f t="shared" si="206"/>
        <v>스토리위즈</v>
      </c>
      <c r="I1036" t="str">
        <f t="shared" si="214"/>
        <v>갓 오브 블랙필드</v>
      </c>
      <c r="J1036">
        <v>100</v>
      </c>
      <c r="K1036">
        <v>900</v>
      </c>
      <c r="L1036">
        <v>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900</v>
      </c>
      <c r="AH1036">
        <v>9</v>
      </c>
      <c r="AI1036">
        <v>0</v>
      </c>
      <c r="AJ1036">
        <v>0</v>
      </c>
      <c r="AK1036">
        <v>900</v>
      </c>
      <c r="AL1036">
        <v>0</v>
      </c>
      <c r="AM1036">
        <v>0</v>
      </c>
      <c r="AN1036">
        <v>0</v>
      </c>
      <c r="AO1036">
        <v>0</v>
      </c>
      <c r="AP1036">
        <v>630</v>
      </c>
      <c r="AT1036" t="str">
        <f t="shared" si="215"/>
        <v>9791137602113</v>
      </c>
      <c r="AV1036" t="str">
        <f t="shared" si="216"/>
        <v>판타지 웹소설 &gt; 현대 판타지</v>
      </c>
    </row>
    <row r="1037" spans="1:48" x14ac:dyDescent="0.4">
      <c r="A1037">
        <v>2313011955</v>
      </c>
      <c r="B1037">
        <v>2313012018</v>
      </c>
      <c r="C1037" t="str">
        <f>T("갓 오브 블랙필드 64화")</f>
        <v>갓 오브 블랙필드 64화</v>
      </c>
      <c r="D1037" t="str">
        <f>T("64")</f>
        <v>64</v>
      </c>
      <c r="E1037" t="str">
        <f t="shared" si="213"/>
        <v>무장</v>
      </c>
      <c r="H1037" t="str">
        <f t="shared" si="206"/>
        <v>스토리위즈</v>
      </c>
      <c r="I1037" t="str">
        <f t="shared" si="214"/>
        <v>갓 오브 블랙필드</v>
      </c>
      <c r="J1037">
        <v>100</v>
      </c>
      <c r="K1037">
        <v>900</v>
      </c>
      <c r="L1037">
        <v>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900</v>
      </c>
      <c r="AH1037">
        <v>9</v>
      </c>
      <c r="AI1037">
        <v>0</v>
      </c>
      <c r="AJ1037">
        <v>0</v>
      </c>
      <c r="AK1037">
        <v>900</v>
      </c>
      <c r="AL1037">
        <v>0</v>
      </c>
      <c r="AM1037">
        <v>0</v>
      </c>
      <c r="AN1037">
        <v>0</v>
      </c>
      <c r="AO1037">
        <v>0</v>
      </c>
      <c r="AP1037">
        <v>630</v>
      </c>
      <c r="AT1037" t="str">
        <f t="shared" si="215"/>
        <v>9791137602113</v>
      </c>
      <c r="AV1037" t="str">
        <f t="shared" si="216"/>
        <v>판타지 웹소설 &gt; 현대 판타지</v>
      </c>
    </row>
    <row r="1038" spans="1:48" x14ac:dyDescent="0.4">
      <c r="A1038">
        <v>2313011955</v>
      </c>
      <c r="B1038">
        <v>2313012019</v>
      </c>
      <c r="C1038" t="str">
        <f>T("갓 오브 블랙필드 65화")</f>
        <v>갓 오브 블랙필드 65화</v>
      </c>
      <c r="D1038" t="str">
        <f>T("65")</f>
        <v>65</v>
      </c>
      <c r="E1038" t="str">
        <f t="shared" si="213"/>
        <v>무장</v>
      </c>
      <c r="H1038" t="str">
        <f t="shared" si="206"/>
        <v>스토리위즈</v>
      </c>
      <c r="I1038" t="str">
        <f t="shared" si="214"/>
        <v>갓 오브 블랙필드</v>
      </c>
      <c r="J1038">
        <v>100</v>
      </c>
      <c r="K1038">
        <v>900</v>
      </c>
      <c r="L1038">
        <v>9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900</v>
      </c>
      <c r="AH1038">
        <v>9</v>
      </c>
      <c r="AI1038">
        <v>0</v>
      </c>
      <c r="AJ1038">
        <v>0</v>
      </c>
      <c r="AK1038">
        <v>900</v>
      </c>
      <c r="AL1038">
        <v>0</v>
      </c>
      <c r="AM1038">
        <v>0</v>
      </c>
      <c r="AN1038">
        <v>0</v>
      </c>
      <c r="AO1038">
        <v>0</v>
      </c>
      <c r="AP1038">
        <v>630</v>
      </c>
      <c r="AT1038" t="str">
        <f t="shared" si="215"/>
        <v>9791137602113</v>
      </c>
      <c r="AV1038" t="str">
        <f t="shared" si="216"/>
        <v>판타지 웹소설 &gt; 현대 판타지</v>
      </c>
    </row>
    <row r="1039" spans="1:48" x14ac:dyDescent="0.4">
      <c r="A1039">
        <v>2313011955</v>
      </c>
      <c r="B1039">
        <v>2313012020</v>
      </c>
      <c r="C1039" t="str">
        <f>T("갓 오브 블랙필드 66화")</f>
        <v>갓 오브 블랙필드 66화</v>
      </c>
      <c r="D1039" t="str">
        <f>T("66")</f>
        <v>66</v>
      </c>
      <c r="E1039" t="str">
        <f t="shared" si="213"/>
        <v>무장</v>
      </c>
      <c r="H1039" t="str">
        <f t="shared" si="206"/>
        <v>스토리위즈</v>
      </c>
      <c r="I1039" t="str">
        <f t="shared" si="214"/>
        <v>갓 오브 블랙필드</v>
      </c>
      <c r="J1039">
        <v>100</v>
      </c>
      <c r="K1039">
        <v>900</v>
      </c>
      <c r="L1039">
        <v>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900</v>
      </c>
      <c r="AH1039">
        <v>9</v>
      </c>
      <c r="AI1039">
        <v>0</v>
      </c>
      <c r="AJ1039">
        <v>0</v>
      </c>
      <c r="AK1039">
        <v>900</v>
      </c>
      <c r="AL1039">
        <v>0</v>
      </c>
      <c r="AM1039">
        <v>0</v>
      </c>
      <c r="AN1039">
        <v>0</v>
      </c>
      <c r="AO1039">
        <v>0</v>
      </c>
      <c r="AP1039">
        <v>630</v>
      </c>
      <c r="AT1039" t="str">
        <f t="shared" si="215"/>
        <v>9791137602113</v>
      </c>
      <c r="AV1039" t="str">
        <f t="shared" si="216"/>
        <v>판타지 웹소설 &gt; 현대 판타지</v>
      </c>
    </row>
    <row r="1040" spans="1:48" x14ac:dyDescent="0.4">
      <c r="A1040">
        <v>2313011955</v>
      </c>
      <c r="B1040">
        <v>2313012021</v>
      </c>
      <c r="C1040" t="str">
        <f>T("갓 오브 블랙필드 67화")</f>
        <v>갓 오브 블랙필드 67화</v>
      </c>
      <c r="D1040" t="str">
        <f>T("67")</f>
        <v>67</v>
      </c>
      <c r="E1040" t="str">
        <f t="shared" si="213"/>
        <v>무장</v>
      </c>
      <c r="H1040" t="str">
        <f t="shared" ref="H1040:H1085" si="217">T("스토리위즈")</f>
        <v>스토리위즈</v>
      </c>
      <c r="I1040" t="str">
        <f t="shared" si="214"/>
        <v>갓 오브 블랙필드</v>
      </c>
      <c r="J1040">
        <v>100</v>
      </c>
      <c r="K1040">
        <v>900</v>
      </c>
      <c r="L1040">
        <v>9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900</v>
      </c>
      <c r="AH1040">
        <v>9</v>
      </c>
      <c r="AI1040">
        <v>0</v>
      </c>
      <c r="AJ1040">
        <v>0</v>
      </c>
      <c r="AK1040">
        <v>900</v>
      </c>
      <c r="AL1040">
        <v>0</v>
      </c>
      <c r="AM1040">
        <v>0</v>
      </c>
      <c r="AN1040">
        <v>0</v>
      </c>
      <c r="AO1040">
        <v>0</v>
      </c>
      <c r="AP1040">
        <v>630</v>
      </c>
      <c r="AT1040" t="str">
        <f t="shared" si="215"/>
        <v>9791137602113</v>
      </c>
      <c r="AV1040" t="str">
        <f t="shared" si="216"/>
        <v>판타지 웹소설 &gt; 현대 판타지</v>
      </c>
    </row>
    <row r="1041" spans="1:48" x14ac:dyDescent="0.4">
      <c r="A1041">
        <v>2313011955</v>
      </c>
      <c r="B1041">
        <v>2313012022</v>
      </c>
      <c r="C1041" t="str">
        <f>T("갓 오브 블랙필드 68화")</f>
        <v>갓 오브 블랙필드 68화</v>
      </c>
      <c r="D1041" t="str">
        <f>T("68")</f>
        <v>68</v>
      </c>
      <c r="E1041" t="str">
        <f t="shared" si="213"/>
        <v>무장</v>
      </c>
      <c r="H1041" t="str">
        <f t="shared" si="217"/>
        <v>스토리위즈</v>
      </c>
      <c r="I1041" t="str">
        <f t="shared" si="214"/>
        <v>갓 오브 블랙필드</v>
      </c>
      <c r="J1041">
        <v>100</v>
      </c>
      <c r="K1041">
        <v>900</v>
      </c>
      <c r="L1041">
        <v>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900</v>
      </c>
      <c r="AH1041">
        <v>9</v>
      </c>
      <c r="AI1041">
        <v>0</v>
      </c>
      <c r="AJ1041">
        <v>0</v>
      </c>
      <c r="AK1041">
        <v>900</v>
      </c>
      <c r="AL1041">
        <v>0</v>
      </c>
      <c r="AM1041">
        <v>0</v>
      </c>
      <c r="AN1041">
        <v>0</v>
      </c>
      <c r="AO1041">
        <v>0</v>
      </c>
      <c r="AP1041">
        <v>630</v>
      </c>
      <c r="AT1041" t="str">
        <f t="shared" si="215"/>
        <v>9791137602113</v>
      </c>
      <c r="AV1041" t="str">
        <f t="shared" si="216"/>
        <v>판타지 웹소설 &gt; 현대 판타지</v>
      </c>
    </row>
    <row r="1042" spans="1:48" x14ac:dyDescent="0.4">
      <c r="A1042">
        <v>2313011955</v>
      </c>
      <c r="B1042">
        <v>2313012023</v>
      </c>
      <c r="C1042" t="str">
        <f>T("갓 오브 블랙필드 69화")</f>
        <v>갓 오브 블랙필드 69화</v>
      </c>
      <c r="D1042" t="str">
        <f>T("69")</f>
        <v>69</v>
      </c>
      <c r="E1042" t="str">
        <f t="shared" si="213"/>
        <v>무장</v>
      </c>
      <c r="H1042" t="str">
        <f t="shared" si="217"/>
        <v>스토리위즈</v>
      </c>
      <c r="I1042" t="str">
        <f t="shared" si="214"/>
        <v>갓 오브 블랙필드</v>
      </c>
      <c r="J1042">
        <v>100</v>
      </c>
      <c r="K1042">
        <v>900</v>
      </c>
      <c r="L1042">
        <v>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900</v>
      </c>
      <c r="AH1042">
        <v>9</v>
      </c>
      <c r="AI1042">
        <v>0</v>
      </c>
      <c r="AJ1042">
        <v>0</v>
      </c>
      <c r="AK1042">
        <v>900</v>
      </c>
      <c r="AL1042">
        <v>0</v>
      </c>
      <c r="AM1042">
        <v>0</v>
      </c>
      <c r="AN1042">
        <v>0</v>
      </c>
      <c r="AO1042">
        <v>0</v>
      </c>
      <c r="AP1042">
        <v>630</v>
      </c>
      <c r="AT1042" t="str">
        <f t="shared" si="215"/>
        <v>9791137602113</v>
      </c>
      <c r="AV1042" t="str">
        <f t="shared" si="216"/>
        <v>판타지 웹소설 &gt; 현대 판타지</v>
      </c>
    </row>
    <row r="1043" spans="1:48" x14ac:dyDescent="0.4">
      <c r="A1043">
        <v>2313011955</v>
      </c>
      <c r="B1043">
        <v>2313012024</v>
      </c>
      <c r="C1043" t="str">
        <f>T("갓 오브 블랙필드 70화")</f>
        <v>갓 오브 블랙필드 70화</v>
      </c>
      <c r="D1043" t="str">
        <f>T("70")</f>
        <v>70</v>
      </c>
      <c r="E1043" t="str">
        <f t="shared" si="213"/>
        <v>무장</v>
      </c>
      <c r="H1043" t="str">
        <f t="shared" si="217"/>
        <v>스토리위즈</v>
      </c>
      <c r="I1043" t="str">
        <f t="shared" si="214"/>
        <v>갓 오브 블랙필드</v>
      </c>
      <c r="J1043">
        <v>100</v>
      </c>
      <c r="K1043">
        <v>900</v>
      </c>
      <c r="L1043">
        <v>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900</v>
      </c>
      <c r="AH1043">
        <v>9</v>
      </c>
      <c r="AI1043">
        <v>0</v>
      </c>
      <c r="AJ1043">
        <v>0</v>
      </c>
      <c r="AK1043">
        <v>900</v>
      </c>
      <c r="AL1043">
        <v>0</v>
      </c>
      <c r="AM1043">
        <v>0</v>
      </c>
      <c r="AN1043">
        <v>0</v>
      </c>
      <c r="AO1043">
        <v>0</v>
      </c>
      <c r="AP1043">
        <v>630</v>
      </c>
      <c r="AT1043" t="str">
        <f t="shared" si="215"/>
        <v>9791137602113</v>
      </c>
      <c r="AV1043" t="str">
        <f t="shared" si="216"/>
        <v>판타지 웹소설 &gt; 현대 판타지</v>
      </c>
    </row>
    <row r="1044" spans="1:48" x14ac:dyDescent="0.4">
      <c r="A1044">
        <v>2313011955</v>
      </c>
      <c r="B1044">
        <v>2313012025</v>
      </c>
      <c r="C1044" t="str">
        <f>T("갓 오브 블랙필드 71화")</f>
        <v>갓 오브 블랙필드 71화</v>
      </c>
      <c r="D1044" t="str">
        <f>T("71")</f>
        <v>71</v>
      </c>
      <c r="E1044" t="str">
        <f t="shared" si="213"/>
        <v>무장</v>
      </c>
      <c r="H1044" t="str">
        <f t="shared" si="217"/>
        <v>스토리위즈</v>
      </c>
      <c r="I1044" t="str">
        <f t="shared" si="214"/>
        <v>갓 오브 블랙필드</v>
      </c>
      <c r="J1044">
        <v>100</v>
      </c>
      <c r="K1044">
        <v>900</v>
      </c>
      <c r="L1044">
        <v>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900</v>
      </c>
      <c r="AH1044">
        <v>9</v>
      </c>
      <c r="AI1044">
        <v>0</v>
      </c>
      <c r="AJ1044">
        <v>0</v>
      </c>
      <c r="AK1044">
        <v>900</v>
      </c>
      <c r="AL1044">
        <v>0</v>
      </c>
      <c r="AM1044">
        <v>0</v>
      </c>
      <c r="AN1044">
        <v>0</v>
      </c>
      <c r="AO1044">
        <v>0</v>
      </c>
      <c r="AP1044">
        <v>630</v>
      </c>
      <c r="AT1044" t="str">
        <f t="shared" si="215"/>
        <v>9791137602113</v>
      </c>
      <c r="AV1044" t="str">
        <f t="shared" si="216"/>
        <v>판타지 웹소설 &gt; 현대 판타지</v>
      </c>
    </row>
    <row r="1045" spans="1:48" x14ac:dyDescent="0.4">
      <c r="A1045">
        <v>2313011955</v>
      </c>
      <c r="B1045">
        <v>2313012026</v>
      </c>
      <c r="C1045" t="str">
        <f>T("갓 오브 블랙필드 72화")</f>
        <v>갓 오브 블랙필드 72화</v>
      </c>
      <c r="D1045" t="str">
        <f>T("72")</f>
        <v>72</v>
      </c>
      <c r="E1045" t="str">
        <f t="shared" si="213"/>
        <v>무장</v>
      </c>
      <c r="H1045" t="str">
        <f t="shared" si="217"/>
        <v>스토리위즈</v>
      </c>
      <c r="I1045" t="str">
        <f t="shared" si="214"/>
        <v>갓 오브 블랙필드</v>
      </c>
      <c r="J1045">
        <v>100</v>
      </c>
      <c r="K1045">
        <v>900</v>
      </c>
      <c r="L1045">
        <v>9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900</v>
      </c>
      <c r="AH1045">
        <v>9</v>
      </c>
      <c r="AI1045">
        <v>0</v>
      </c>
      <c r="AJ1045">
        <v>0</v>
      </c>
      <c r="AK1045">
        <v>900</v>
      </c>
      <c r="AL1045">
        <v>0</v>
      </c>
      <c r="AM1045">
        <v>0</v>
      </c>
      <c r="AN1045">
        <v>0</v>
      </c>
      <c r="AO1045">
        <v>0</v>
      </c>
      <c r="AP1045">
        <v>630</v>
      </c>
      <c r="AT1045" t="str">
        <f t="shared" si="215"/>
        <v>9791137602113</v>
      </c>
      <c r="AV1045" t="str">
        <f t="shared" si="216"/>
        <v>판타지 웹소설 &gt; 현대 판타지</v>
      </c>
    </row>
    <row r="1046" spans="1:48" x14ac:dyDescent="0.4">
      <c r="A1046">
        <v>2313011955</v>
      </c>
      <c r="B1046">
        <v>2313012028</v>
      </c>
      <c r="C1046" t="str">
        <f>T("갓 오브 블랙필드 74화")</f>
        <v>갓 오브 블랙필드 74화</v>
      </c>
      <c r="D1046" t="str">
        <f>T("74")</f>
        <v>74</v>
      </c>
      <c r="E1046" t="str">
        <f t="shared" si="213"/>
        <v>무장</v>
      </c>
      <c r="H1046" t="str">
        <f t="shared" si="217"/>
        <v>스토리위즈</v>
      </c>
      <c r="I1046" t="str">
        <f t="shared" si="214"/>
        <v>갓 오브 블랙필드</v>
      </c>
      <c r="J1046">
        <v>100</v>
      </c>
      <c r="K1046">
        <v>900</v>
      </c>
      <c r="L1046">
        <v>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900</v>
      </c>
      <c r="AH1046">
        <v>9</v>
      </c>
      <c r="AI1046">
        <v>0</v>
      </c>
      <c r="AJ1046">
        <v>0</v>
      </c>
      <c r="AK1046">
        <v>900</v>
      </c>
      <c r="AL1046">
        <v>0</v>
      </c>
      <c r="AM1046">
        <v>0</v>
      </c>
      <c r="AN1046">
        <v>0</v>
      </c>
      <c r="AO1046">
        <v>0</v>
      </c>
      <c r="AP1046">
        <v>630</v>
      </c>
      <c r="AT1046" t="str">
        <f t="shared" si="215"/>
        <v>9791137602113</v>
      </c>
      <c r="AV1046" t="str">
        <f t="shared" si="216"/>
        <v>판타지 웹소설 &gt; 현대 판타지</v>
      </c>
    </row>
    <row r="1047" spans="1:48" x14ac:dyDescent="0.4">
      <c r="A1047">
        <v>2313011955</v>
      </c>
      <c r="B1047">
        <v>2313012061</v>
      </c>
      <c r="C1047" t="str">
        <f>T("갓 오브 블랙필드 107화")</f>
        <v>갓 오브 블랙필드 107화</v>
      </c>
      <c r="D1047" t="str">
        <f>T("107")</f>
        <v>107</v>
      </c>
      <c r="E1047" t="str">
        <f t="shared" si="213"/>
        <v>무장</v>
      </c>
      <c r="H1047" t="str">
        <f t="shared" si="217"/>
        <v>스토리위즈</v>
      </c>
      <c r="I1047" t="str">
        <f t="shared" si="214"/>
        <v>갓 오브 블랙필드</v>
      </c>
      <c r="J1047">
        <v>100</v>
      </c>
      <c r="K1047">
        <v>900</v>
      </c>
      <c r="L1047">
        <v>9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900</v>
      </c>
      <c r="AH1047">
        <v>9</v>
      </c>
      <c r="AI1047">
        <v>0</v>
      </c>
      <c r="AJ1047">
        <v>0</v>
      </c>
      <c r="AK1047">
        <v>900</v>
      </c>
      <c r="AL1047">
        <v>0</v>
      </c>
      <c r="AM1047">
        <v>0</v>
      </c>
      <c r="AN1047">
        <v>0</v>
      </c>
      <c r="AO1047">
        <v>0</v>
      </c>
      <c r="AP1047">
        <v>630</v>
      </c>
      <c r="AT1047" t="str">
        <f t="shared" si="215"/>
        <v>9791137602113</v>
      </c>
      <c r="AV1047" t="str">
        <f t="shared" si="216"/>
        <v>판타지 웹소설 &gt; 현대 판타지</v>
      </c>
    </row>
    <row r="1048" spans="1:48" x14ac:dyDescent="0.4">
      <c r="A1048">
        <v>2313011955</v>
      </c>
      <c r="B1048">
        <v>2313012086</v>
      </c>
      <c r="C1048" t="str">
        <f>T("갓 오브 블랙필드 132화")</f>
        <v>갓 오브 블랙필드 132화</v>
      </c>
      <c r="D1048" t="str">
        <f>T("132")</f>
        <v>132</v>
      </c>
      <c r="E1048" t="str">
        <f t="shared" si="213"/>
        <v>무장</v>
      </c>
      <c r="H1048" t="str">
        <f t="shared" si="217"/>
        <v>스토리위즈</v>
      </c>
      <c r="I1048" t="str">
        <f t="shared" si="214"/>
        <v>갓 오브 블랙필드</v>
      </c>
      <c r="J1048">
        <v>100</v>
      </c>
      <c r="K1048">
        <v>900</v>
      </c>
      <c r="L1048">
        <v>9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900</v>
      </c>
      <c r="AH1048">
        <v>9</v>
      </c>
      <c r="AI1048">
        <v>0</v>
      </c>
      <c r="AJ1048">
        <v>0</v>
      </c>
      <c r="AK1048">
        <v>900</v>
      </c>
      <c r="AL1048">
        <v>0</v>
      </c>
      <c r="AM1048">
        <v>0</v>
      </c>
      <c r="AN1048">
        <v>0</v>
      </c>
      <c r="AO1048">
        <v>0</v>
      </c>
      <c r="AP1048">
        <v>630</v>
      </c>
      <c r="AT1048" t="str">
        <f t="shared" si="215"/>
        <v>9791137602113</v>
      </c>
      <c r="AV1048" t="str">
        <f t="shared" si="216"/>
        <v>판타지 웹소설 &gt; 현대 판타지</v>
      </c>
    </row>
    <row r="1049" spans="1:48" x14ac:dyDescent="0.4">
      <c r="A1049">
        <v>2313011955</v>
      </c>
      <c r="B1049">
        <v>2313012107</v>
      </c>
      <c r="C1049" t="str">
        <f>T("갓 오브 블랙필드 153화")</f>
        <v>갓 오브 블랙필드 153화</v>
      </c>
      <c r="D1049" t="str">
        <f>T("153")</f>
        <v>153</v>
      </c>
      <c r="E1049" t="str">
        <f t="shared" si="213"/>
        <v>무장</v>
      </c>
      <c r="H1049" t="str">
        <f t="shared" si="217"/>
        <v>스토리위즈</v>
      </c>
      <c r="I1049" t="str">
        <f t="shared" si="214"/>
        <v>갓 오브 블랙필드</v>
      </c>
      <c r="J1049">
        <v>100</v>
      </c>
      <c r="K1049">
        <v>900</v>
      </c>
      <c r="L1049">
        <v>9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900</v>
      </c>
      <c r="AH1049">
        <v>9</v>
      </c>
      <c r="AI1049">
        <v>0</v>
      </c>
      <c r="AJ1049">
        <v>0</v>
      </c>
      <c r="AK1049">
        <v>900</v>
      </c>
      <c r="AL1049">
        <v>0</v>
      </c>
      <c r="AM1049">
        <v>0</v>
      </c>
      <c r="AN1049">
        <v>0</v>
      </c>
      <c r="AO1049">
        <v>0</v>
      </c>
      <c r="AP1049">
        <v>630</v>
      </c>
      <c r="AT1049" t="str">
        <f t="shared" si="215"/>
        <v>9791137602113</v>
      </c>
      <c r="AV1049" t="str">
        <f t="shared" si="216"/>
        <v>판타지 웹소설 &gt; 현대 판타지</v>
      </c>
    </row>
    <row r="1050" spans="1:48" x14ac:dyDescent="0.4">
      <c r="A1050">
        <v>2313011955</v>
      </c>
      <c r="B1050">
        <v>2313012108</v>
      </c>
      <c r="C1050" t="str">
        <f>T("갓 오브 블랙필드 154화")</f>
        <v>갓 오브 블랙필드 154화</v>
      </c>
      <c r="D1050" t="str">
        <f>T("154")</f>
        <v>154</v>
      </c>
      <c r="E1050" t="str">
        <f t="shared" si="213"/>
        <v>무장</v>
      </c>
      <c r="H1050" t="str">
        <f t="shared" si="217"/>
        <v>스토리위즈</v>
      </c>
      <c r="I1050" t="str">
        <f t="shared" si="214"/>
        <v>갓 오브 블랙필드</v>
      </c>
      <c r="J1050">
        <v>100</v>
      </c>
      <c r="K1050">
        <v>900</v>
      </c>
      <c r="L1050">
        <v>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900</v>
      </c>
      <c r="AH1050">
        <v>9</v>
      </c>
      <c r="AI1050">
        <v>0</v>
      </c>
      <c r="AJ1050">
        <v>0</v>
      </c>
      <c r="AK1050">
        <v>900</v>
      </c>
      <c r="AL1050">
        <v>0</v>
      </c>
      <c r="AM1050">
        <v>0</v>
      </c>
      <c r="AN1050">
        <v>0</v>
      </c>
      <c r="AO1050">
        <v>0</v>
      </c>
      <c r="AP1050">
        <v>630</v>
      </c>
      <c r="AT1050" t="str">
        <f t="shared" si="215"/>
        <v>9791137602113</v>
      </c>
      <c r="AV1050" t="str">
        <f t="shared" si="216"/>
        <v>판타지 웹소설 &gt; 현대 판타지</v>
      </c>
    </row>
    <row r="1051" spans="1:48" x14ac:dyDescent="0.4">
      <c r="A1051">
        <v>2313011955</v>
      </c>
      <c r="B1051">
        <v>2313012109</v>
      </c>
      <c r="C1051" t="str">
        <f>T("갓 오브 블랙필드 155화")</f>
        <v>갓 오브 블랙필드 155화</v>
      </c>
      <c r="D1051" t="str">
        <f>T("155")</f>
        <v>155</v>
      </c>
      <c r="E1051" t="str">
        <f t="shared" si="213"/>
        <v>무장</v>
      </c>
      <c r="H1051" t="str">
        <f t="shared" si="217"/>
        <v>스토리위즈</v>
      </c>
      <c r="I1051" t="str">
        <f t="shared" si="214"/>
        <v>갓 오브 블랙필드</v>
      </c>
      <c r="J1051">
        <v>100</v>
      </c>
      <c r="K1051">
        <v>900</v>
      </c>
      <c r="L1051">
        <v>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900</v>
      </c>
      <c r="AH1051">
        <v>9</v>
      </c>
      <c r="AI1051">
        <v>0</v>
      </c>
      <c r="AJ1051">
        <v>0</v>
      </c>
      <c r="AK1051">
        <v>900</v>
      </c>
      <c r="AL1051">
        <v>0</v>
      </c>
      <c r="AM1051">
        <v>0</v>
      </c>
      <c r="AN1051">
        <v>0</v>
      </c>
      <c r="AO1051">
        <v>0</v>
      </c>
      <c r="AP1051">
        <v>630</v>
      </c>
      <c r="AT1051" t="str">
        <f t="shared" si="215"/>
        <v>9791137602113</v>
      </c>
      <c r="AV1051" t="str">
        <f t="shared" si="216"/>
        <v>판타지 웹소설 &gt; 현대 판타지</v>
      </c>
    </row>
    <row r="1052" spans="1:48" x14ac:dyDescent="0.4">
      <c r="A1052">
        <v>2313011955</v>
      </c>
      <c r="B1052">
        <v>2313012110</v>
      </c>
      <c r="C1052" t="str">
        <f>T("갓 오브 블랙필드 156화")</f>
        <v>갓 오브 블랙필드 156화</v>
      </c>
      <c r="D1052" t="str">
        <f>T("156")</f>
        <v>156</v>
      </c>
      <c r="E1052" t="str">
        <f t="shared" si="213"/>
        <v>무장</v>
      </c>
      <c r="H1052" t="str">
        <f t="shared" si="217"/>
        <v>스토리위즈</v>
      </c>
      <c r="I1052" t="str">
        <f t="shared" si="214"/>
        <v>갓 오브 블랙필드</v>
      </c>
      <c r="J1052">
        <v>100</v>
      </c>
      <c r="K1052">
        <v>900</v>
      </c>
      <c r="L1052">
        <v>9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900</v>
      </c>
      <c r="AH1052">
        <v>9</v>
      </c>
      <c r="AI1052">
        <v>0</v>
      </c>
      <c r="AJ1052">
        <v>0</v>
      </c>
      <c r="AK1052">
        <v>900</v>
      </c>
      <c r="AL1052">
        <v>0</v>
      </c>
      <c r="AM1052">
        <v>0</v>
      </c>
      <c r="AN1052">
        <v>0</v>
      </c>
      <c r="AO1052">
        <v>0</v>
      </c>
      <c r="AP1052">
        <v>630</v>
      </c>
      <c r="AT1052" t="str">
        <f t="shared" si="215"/>
        <v>9791137602113</v>
      </c>
      <c r="AV1052" t="str">
        <f t="shared" si="216"/>
        <v>판타지 웹소설 &gt; 현대 판타지</v>
      </c>
    </row>
    <row r="1053" spans="1:48" x14ac:dyDescent="0.4">
      <c r="A1053">
        <v>2313011955</v>
      </c>
      <c r="B1053">
        <v>2313012111</v>
      </c>
      <c r="C1053" t="str">
        <f>T("갓 오브 블랙필드 157화")</f>
        <v>갓 오브 블랙필드 157화</v>
      </c>
      <c r="D1053" t="str">
        <f>T("157")</f>
        <v>157</v>
      </c>
      <c r="E1053" t="str">
        <f t="shared" si="213"/>
        <v>무장</v>
      </c>
      <c r="H1053" t="str">
        <f t="shared" si="217"/>
        <v>스토리위즈</v>
      </c>
      <c r="I1053" t="str">
        <f t="shared" si="214"/>
        <v>갓 오브 블랙필드</v>
      </c>
      <c r="J1053">
        <v>100</v>
      </c>
      <c r="K1053">
        <v>900</v>
      </c>
      <c r="L1053">
        <v>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900</v>
      </c>
      <c r="AH1053">
        <v>9</v>
      </c>
      <c r="AI1053">
        <v>0</v>
      </c>
      <c r="AJ1053">
        <v>0</v>
      </c>
      <c r="AK1053">
        <v>900</v>
      </c>
      <c r="AL1053">
        <v>0</v>
      </c>
      <c r="AM1053">
        <v>0</v>
      </c>
      <c r="AN1053">
        <v>0</v>
      </c>
      <c r="AO1053">
        <v>0</v>
      </c>
      <c r="AP1053">
        <v>630</v>
      </c>
      <c r="AT1053" t="str">
        <f t="shared" si="215"/>
        <v>9791137602113</v>
      </c>
      <c r="AV1053" t="str">
        <f t="shared" si="216"/>
        <v>판타지 웹소설 &gt; 현대 판타지</v>
      </c>
    </row>
    <row r="1054" spans="1:48" x14ac:dyDescent="0.4">
      <c r="A1054">
        <v>2313011955</v>
      </c>
      <c r="B1054">
        <v>2313012112</v>
      </c>
      <c r="C1054" t="str">
        <f>T("갓 오브 블랙필드 158화")</f>
        <v>갓 오브 블랙필드 158화</v>
      </c>
      <c r="D1054" t="str">
        <f>T("158")</f>
        <v>158</v>
      </c>
      <c r="E1054" t="str">
        <f t="shared" si="213"/>
        <v>무장</v>
      </c>
      <c r="H1054" t="str">
        <f t="shared" si="217"/>
        <v>스토리위즈</v>
      </c>
      <c r="I1054" t="str">
        <f t="shared" si="214"/>
        <v>갓 오브 블랙필드</v>
      </c>
      <c r="J1054">
        <v>100</v>
      </c>
      <c r="K1054">
        <v>900</v>
      </c>
      <c r="L1054">
        <v>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900</v>
      </c>
      <c r="AH1054">
        <v>9</v>
      </c>
      <c r="AI1054">
        <v>0</v>
      </c>
      <c r="AJ1054">
        <v>0</v>
      </c>
      <c r="AK1054">
        <v>900</v>
      </c>
      <c r="AL1054">
        <v>0</v>
      </c>
      <c r="AM1054">
        <v>0</v>
      </c>
      <c r="AN1054">
        <v>0</v>
      </c>
      <c r="AO1054">
        <v>0</v>
      </c>
      <c r="AP1054">
        <v>630</v>
      </c>
      <c r="AT1054" t="str">
        <f t="shared" si="215"/>
        <v>9791137602113</v>
      </c>
      <c r="AV1054" t="str">
        <f t="shared" si="216"/>
        <v>판타지 웹소설 &gt; 현대 판타지</v>
      </c>
    </row>
    <row r="1055" spans="1:48" x14ac:dyDescent="0.4">
      <c r="A1055">
        <v>2313011955</v>
      </c>
      <c r="B1055">
        <v>2313012113</v>
      </c>
      <c r="C1055" t="str">
        <f>T("갓 오브 블랙필드 159화")</f>
        <v>갓 오브 블랙필드 159화</v>
      </c>
      <c r="D1055" t="str">
        <f>T("159")</f>
        <v>159</v>
      </c>
      <c r="E1055" t="str">
        <f t="shared" si="213"/>
        <v>무장</v>
      </c>
      <c r="H1055" t="str">
        <f t="shared" si="217"/>
        <v>스토리위즈</v>
      </c>
      <c r="I1055" t="str">
        <f t="shared" si="214"/>
        <v>갓 오브 블랙필드</v>
      </c>
      <c r="J1055">
        <v>100</v>
      </c>
      <c r="K1055">
        <v>900</v>
      </c>
      <c r="L1055">
        <v>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900</v>
      </c>
      <c r="AH1055">
        <v>9</v>
      </c>
      <c r="AI1055">
        <v>0</v>
      </c>
      <c r="AJ1055">
        <v>0</v>
      </c>
      <c r="AK1055">
        <v>900</v>
      </c>
      <c r="AL1055">
        <v>0</v>
      </c>
      <c r="AM1055">
        <v>0</v>
      </c>
      <c r="AN1055">
        <v>0</v>
      </c>
      <c r="AO1055">
        <v>0</v>
      </c>
      <c r="AP1055">
        <v>630</v>
      </c>
      <c r="AT1055" t="str">
        <f t="shared" si="215"/>
        <v>9791137602113</v>
      </c>
      <c r="AV1055" t="str">
        <f t="shared" si="216"/>
        <v>판타지 웹소설 &gt; 현대 판타지</v>
      </c>
    </row>
    <row r="1056" spans="1:48" x14ac:dyDescent="0.4">
      <c r="A1056">
        <v>2313011955</v>
      </c>
      <c r="B1056">
        <v>2313012114</v>
      </c>
      <c r="C1056" t="str">
        <f>T("갓 오브 블랙필드 160화")</f>
        <v>갓 오브 블랙필드 160화</v>
      </c>
      <c r="D1056" t="str">
        <f>T("160")</f>
        <v>160</v>
      </c>
      <c r="E1056" t="str">
        <f t="shared" si="213"/>
        <v>무장</v>
      </c>
      <c r="H1056" t="str">
        <f t="shared" si="217"/>
        <v>스토리위즈</v>
      </c>
      <c r="I1056" t="str">
        <f t="shared" si="214"/>
        <v>갓 오브 블랙필드</v>
      </c>
      <c r="J1056">
        <v>100</v>
      </c>
      <c r="K1056">
        <v>900</v>
      </c>
      <c r="L1056">
        <v>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900</v>
      </c>
      <c r="AH1056">
        <v>9</v>
      </c>
      <c r="AI1056">
        <v>0</v>
      </c>
      <c r="AJ1056">
        <v>0</v>
      </c>
      <c r="AK1056">
        <v>900</v>
      </c>
      <c r="AL1056">
        <v>0</v>
      </c>
      <c r="AM1056">
        <v>0</v>
      </c>
      <c r="AN1056">
        <v>0</v>
      </c>
      <c r="AO1056">
        <v>0</v>
      </c>
      <c r="AP1056">
        <v>630</v>
      </c>
      <c r="AT1056" t="str">
        <f t="shared" si="215"/>
        <v>9791137602113</v>
      </c>
      <c r="AV1056" t="str">
        <f t="shared" si="216"/>
        <v>판타지 웹소설 &gt; 현대 판타지</v>
      </c>
    </row>
    <row r="1057" spans="1:48" x14ac:dyDescent="0.4">
      <c r="A1057">
        <v>2313011955</v>
      </c>
      <c r="B1057">
        <v>2313012115</v>
      </c>
      <c r="C1057" t="str">
        <f>T("갓 오브 블랙필드 161화")</f>
        <v>갓 오브 블랙필드 161화</v>
      </c>
      <c r="D1057" t="str">
        <f>T("161")</f>
        <v>161</v>
      </c>
      <c r="E1057" t="str">
        <f t="shared" si="213"/>
        <v>무장</v>
      </c>
      <c r="H1057" t="str">
        <f t="shared" si="217"/>
        <v>스토리위즈</v>
      </c>
      <c r="I1057" t="str">
        <f t="shared" si="214"/>
        <v>갓 오브 블랙필드</v>
      </c>
      <c r="J1057">
        <v>100</v>
      </c>
      <c r="K1057">
        <v>900</v>
      </c>
      <c r="L1057">
        <v>9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900</v>
      </c>
      <c r="AH1057">
        <v>9</v>
      </c>
      <c r="AI1057">
        <v>0</v>
      </c>
      <c r="AJ1057">
        <v>0</v>
      </c>
      <c r="AK1057">
        <v>900</v>
      </c>
      <c r="AL1057">
        <v>0</v>
      </c>
      <c r="AM1057">
        <v>0</v>
      </c>
      <c r="AN1057">
        <v>0</v>
      </c>
      <c r="AO1057">
        <v>0</v>
      </c>
      <c r="AP1057">
        <v>630</v>
      </c>
      <c r="AT1057" t="str">
        <f t="shared" si="215"/>
        <v>9791137602113</v>
      </c>
      <c r="AV1057" t="str">
        <f t="shared" si="216"/>
        <v>판타지 웹소설 &gt; 현대 판타지</v>
      </c>
    </row>
    <row r="1058" spans="1:48" x14ac:dyDescent="0.4">
      <c r="A1058">
        <v>2313011955</v>
      </c>
      <c r="B1058">
        <v>2313012116</v>
      </c>
      <c r="C1058" t="str">
        <f>T("갓 오브 블랙필드 162화")</f>
        <v>갓 오브 블랙필드 162화</v>
      </c>
      <c r="D1058" t="str">
        <f>T("162")</f>
        <v>162</v>
      </c>
      <c r="E1058" t="str">
        <f t="shared" si="213"/>
        <v>무장</v>
      </c>
      <c r="H1058" t="str">
        <f t="shared" si="217"/>
        <v>스토리위즈</v>
      </c>
      <c r="I1058" t="str">
        <f t="shared" si="214"/>
        <v>갓 오브 블랙필드</v>
      </c>
      <c r="J1058">
        <v>100</v>
      </c>
      <c r="K1058">
        <v>900</v>
      </c>
      <c r="L1058">
        <v>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900</v>
      </c>
      <c r="AH1058">
        <v>9</v>
      </c>
      <c r="AI1058">
        <v>0</v>
      </c>
      <c r="AJ1058">
        <v>0</v>
      </c>
      <c r="AK1058">
        <v>900</v>
      </c>
      <c r="AL1058">
        <v>0</v>
      </c>
      <c r="AM1058">
        <v>0</v>
      </c>
      <c r="AN1058">
        <v>0</v>
      </c>
      <c r="AO1058">
        <v>0</v>
      </c>
      <c r="AP1058">
        <v>630</v>
      </c>
      <c r="AT1058" t="str">
        <f t="shared" si="215"/>
        <v>9791137602113</v>
      </c>
      <c r="AV1058" t="str">
        <f t="shared" si="216"/>
        <v>판타지 웹소설 &gt; 현대 판타지</v>
      </c>
    </row>
    <row r="1059" spans="1:48" x14ac:dyDescent="0.4">
      <c r="A1059">
        <v>2313011955</v>
      </c>
      <c r="B1059">
        <v>2313012117</v>
      </c>
      <c r="C1059" t="str">
        <f>T("갓 오브 블랙필드 163화")</f>
        <v>갓 오브 블랙필드 163화</v>
      </c>
      <c r="D1059" t="str">
        <f>T("163")</f>
        <v>163</v>
      </c>
      <c r="E1059" t="str">
        <f t="shared" si="213"/>
        <v>무장</v>
      </c>
      <c r="H1059" t="str">
        <f t="shared" si="217"/>
        <v>스토리위즈</v>
      </c>
      <c r="I1059" t="str">
        <f t="shared" si="214"/>
        <v>갓 오브 블랙필드</v>
      </c>
      <c r="J1059">
        <v>100</v>
      </c>
      <c r="K1059">
        <v>900</v>
      </c>
      <c r="L1059">
        <v>9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900</v>
      </c>
      <c r="AH1059">
        <v>9</v>
      </c>
      <c r="AI1059">
        <v>0</v>
      </c>
      <c r="AJ1059">
        <v>0</v>
      </c>
      <c r="AK1059">
        <v>900</v>
      </c>
      <c r="AL1059">
        <v>0</v>
      </c>
      <c r="AM1059">
        <v>0</v>
      </c>
      <c r="AN1059">
        <v>0</v>
      </c>
      <c r="AO1059">
        <v>0</v>
      </c>
      <c r="AP1059">
        <v>630</v>
      </c>
      <c r="AT1059" t="str">
        <f t="shared" si="215"/>
        <v>9791137602113</v>
      </c>
      <c r="AV1059" t="str">
        <f t="shared" si="216"/>
        <v>판타지 웹소설 &gt; 현대 판타지</v>
      </c>
    </row>
    <row r="1060" spans="1:48" x14ac:dyDescent="0.4">
      <c r="A1060">
        <v>2313011955</v>
      </c>
      <c r="B1060">
        <v>2313012118</v>
      </c>
      <c r="C1060" t="str">
        <f>T("갓 오브 블랙필드 164화")</f>
        <v>갓 오브 블랙필드 164화</v>
      </c>
      <c r="D1060" t="str">
        <f>T("164")</f>
        <v>164</v>
      </c>
      <c r="E1060" t="str">
        <f t="shared" si="213"/>
        <v>무장</v>
      </c>
      <c r="H1060" t="str">
        <f t="shared" si="217"/>
        <v>스토리위즈</v>
      </c>
      <c r="I1060" t="str">
        <f t="shared" si="214"/>
        <v>갓 오브 블랙필드</v>
      </c>
      <c r="J1060">
        <v>100</v>
      </c>
      <c r="K1060">
        <v>900</v>
      </c>
      <c r="L1060">
        <v>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900</v>
      </c>
      <c r="AH1060">
        <v>9</v>
      </c>
      <c r="AI1060">
        <v>0</v>
      </c>
      <c r="AJ1060">
        <v>0</v>
      </c>
      <c r="AK1060">
        <v>900</v>
      </c>
      <c r="AL1060">
        <v>0</v>
      </c>
      <c r="AM1060">
        <v>0</v>
      </c>
      <c r="AN1060">
        <v>0</v>
      </c>
      <c r="AO1060">
        <v>0</v>
      </c>
      <c r="AP1060">
        <v>630</v>
      </c>
      <c r="AT1060" t="str">
        <f t="shared" si="215"/>
        <v>9791137602113</v>
      </c>
      <c r="AV1060" t="str">
        <f t="shared" si="216"/>
        <v>판타지 웹소설 &gt; 현대 판타지</v>
      </c>
    </row>
    <row r="1061" spans="1:48" x14ac:dyDescent="0.4">
      <c r="A1061">
        <v>2313011955</v>
      </c>
      <c r="B1061">
        <v>2313012119</v>
      </c>
      <c r="C1061" t="str">
        <f>T("갓 오브 블랙필드 165화")</f>
        <v>갓 오브 블랙필드 165화</v>
      </c>
      <c r="D1061" t="str">
        <f>T("165")</f>
        <v>165</v>
      </c>
      <c r="E1061" t="str">
        <f t="shared" si="213"/>
        <v>무장</v>
      </c>
      <c r="H1061" t="str">
        <f t="shared" si="217"/>
        <v>스토리위즈</v>
      </c>
      <c r="I1061" t="str">
        <f t="shared" si="214"/>
        <v>갓 오브 블랙필드</v>
      </c>
      <c r="J1061">
        <v>100</v>
      </c>
      <c r="K1061">
        <v>900</v>
      </c>
      <c r="L1061">
        <v>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900</v>
      </c>
      <c r="AH1061">
        <v>9</v>
      </c>
      <c r="AI1061">
        <v>0</v>
      </c>
      <c r="AJ1061">
        <v>0</v>
      </c>
      <c r="AK1061">
        <v>900</v>
      </c>
      <c r="AL1061">
        <v>0</v>
      </c>
      <c r="AM1061">
        <v>0</v>
      </c>
      <c r="AN1061">
        <v>0</v>
      </c>
      <c r="AO1061">
        <v>0</v>
      </c>
      <c r="AP1061">
        <v>630</v>
      </c>
      <c r="AT1061" t="str">
        <f t="shared" si="215"/>
        <v>9791137602113</v>
      </c>
      <c r="AV1061" t="str">
        <f t="shared" si="216"/>
        <v>판타지 웹소설 &gt; 현대 판타지</v>
      </c>
    </row>
    <row r="1062" spans="1:48" x14ac:dyDescent="0.4">
      <c r="A1062">
        <v>2313011955</v>
      </c>
      <c r="B1062">
        <v>2313012121</v>
      </c>
      <c r="C1062" t="str">
        <f>T("갓 오브 블랙필드 167화")</f>
        <v>갓 오브 블랙필드 167화</v>
      </c>
      <c r="D1062" t="str">
        <f>T("167")</f>
        <v>167</v>
      </c>
      <c r="E1062" t="str">
        <f t="shared" si="213"/>
        <v>무장</v>
      </c>
      <c r="H1062" t="str">
        <f t="shared" si="217"/>
        <v>스토리위즈</v>
      </c>
      <c r="I1062" t="str">
        <f t="shared" si="214"/>
        <v>갓 오브 블랙필드</v>
      </c>
      <c r="J1062">
        <v>100</v>
      </c>
      <c r="K1062">
        <v>900</v>
      </c>
      <c r="L1062">
        <v>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900</v>
      </c>
      <c r="AH1062">
        <v>9</v>
      </c>
      <c r="AI1062">
        <v>0</v>
      </c>
      <c r="AJ1062">
        <v>0</v>
      </c>
      <c r="AK1062">
        <v>900</v>
      </c>
      <c r="AL1062">
        <v>0</v>
      </c>
      <c r="AM1062">
        <v>0</v>
      </c>
      <c r="AN1062">
        <v>0</v>
      </c>
      <c r="AO1062">
        <v>0</v>
      </c>
      <c r="AP1062">
        <v>630</v>
      </c>
      <c r="AT1062" t="str">
        <f t="shared" si="215"/>
        <v>9791137602113</v>
      </c>
      <c r="AV1062" t="str">
        <f t="shared" si="216"/>
        <v>판타지 웹소설 &gt; 현대 판타지</v>
      </c>
    </row>
    <row r="1063" spans="1:48" x14ac:dyDescent="0.4">
      <c r="A1063">
        <v>2313011955</v>
      </c>
      <c r="B1063">
        <v>2313012123</v>
      </c>
      <c r="C1063" t="str">
        <f>T("갓 오브 블랙필드 169화")</f>
        <v>갓 오브 블랙필드 169화</v>
      </c>
      <c r="D1063" t="str">
        <f>T("169")</f>
        <v>169</v>
      </c>
      <c r="E1063" t="str">
        <f t="shared" si="213"/>
        <v>무장</v>
      </c>
      <c r="H1063" t="str">
        <f t="shared" si="217"/>
        <v>스토리위즈</v>
      </c>
      <c r="I1063" t="str">
        <f t="shared" si="214"/>
        <v>갓 오브 블랙필드</v>
      </c>
      <c r="J1063">
        <v>100</v>
      </c>
      <c r="K1063">
        <v>900</v>
      </c>
      <c r="L1063">
        <v>9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900</v>
      </c>
      <c r="AH1063">
        <v>9</v>
      </c>
      <c r="AI1063">
        <v>0</v>
      </c>
      <c r="AJ1063">
        <v>0</v>
      </c>
      <c r="AK1063">
        <v>900</v>
      </c>
      <c r="AL1063">
        <v>0</v>
      </c>
      <c r="AM1063">
        <v>0</v>
      </c>
      <c r="AN1063">
        <v>0</v>
      </c>
      <c r="AO1063">
        <v>0</v>
      </c>
      <c r="AP1063">
        <v>630</v>
      </c>
      <c r="AT1063" t="str">
        <f t="shared" si="215"/>
        <v>9791137602113</v>
      </c>
      <c r="AV1063" t="str">
        <f t="shared" si="216"/>
        <v>판타지 웹소설 &gt; 현대 판타지</v>
      </c>
    </row>
    <row r="1064" spans="1:48" x14ac:dyDescent="0.4">
      <c r="A1064">
        <v>2313011955</v>
      </c>
      <c r="B1064">
        <v>2313012124</v>
      </c>
      <c r="C1064" t="str">
        <f>T("갓 오브 블랙필드 170화")</f>
        <v>갓 오브 블랙필드 170화</v>
      </c>
      <c r="D1064" t="str">
        <f>T("170")</f>
        <v>170</v>
      </c>
      <c r="E1064" t="str">
        <f t="shared" si="213"/>
        <v>무장</v>
      </c>
      <c r="H1064" t="str">
        <f t="shared" si="217"/>
        <v>스토리위즈</v>
      </c>
      <c r="I1064" t="str">
        <f t="shared" si="214"/>
        <v>갓 오브 블랙필드</v>
      </c>
      <c r="J1064">
        <v>100</v>
      </c>
      <c r="K1064">
        <v>900</v>
      </c>
      <c r="L1064">
        <v>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900</v>
      </c>
      <c r="AH1064">
        <v>9</v>
      </c>
      <c r="AI1064">
        <v>0</v>
      </c>
      <c r="AJ1064">
        <v>0</v>
      </c>
      <c r="AK1064">
        <v>900</v>
      </c>
      <c r="AL1064">
        <v>0</v>
      </c>
      <c r="AM1064">
        <v>0</v>
      </c>
      <c r="AN1064">
        <v>0</v>
      </c>
      <c r="AO1064">
        <v>0</v>
      </c>
      <c r="AP1064">
        <v>630</v>
      </c>
      <c r="AT1064" t="str">
        <f t="shared" si="215"/>
        <v>9791137602113</v>
      </c>
      <c r="AV1064" t="str">
        <f t="shared" si="216"/>
        <v>판타지 웹소설 &gt; 현대 판타지</v>
      </c>
    </row>
    <row r="1065" spans="1:48" x14ac:dyDescent="0.4">
      <c r="A1065">
        <v>2313011955</v>
      </c>
      <c r="B1065">
        <v>2313012125</v>
      </c>
      <c r="C1065" t="str">
        <f>T("갓 오브 블랙필드 171화")</f>
        <v>갓 오브 블랙필드 171화</v>
      </c>
      <c r="D1065" t="str">
        <f>T("171")</f>
        <v>171</v>
      </c>
      <c r="E1065" t="str">
        <f t="shared" si="213"/>
        <v>무장</v>
      </c>
      <c r="H1065" t="str">
        <f t="shared" si="217"/>
        <v>스토리위즈</v>
      </c>
      <c r="I1065" t="str">
        <f t="shared" si="214"/>
        <v>갓 오브 블랙필드</v>
      </c>
      <c r="J1065">
        <v>100</v>
      </c>
      <c r="K1065">
        <v>900</v>
      </c>
      <c r="L1065">
        <v>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900</v>
      </c>
      <c r="AH1065">
        <v>9</v>
      </c>
      <c r="AI1065">
        <v>0</v>
      </c>
      <c r="AJ1065">
        <v>0</v>
      </c>
      <c r="AK1065">
        <v>900</v>
      </c>
      <c r="AL1065">
        <v>0</v>
      </c>
      <c r="AM1065">
        <v>0</v>
      </c>
      <c r="AN1065">
        <v>0</v>
      </c>
      <c r="AO1065">
        <v>0</v>
      </c>
      <c r="AP1065">
        <v>630</v>
      </c>
      <c r="AT1065" t="str">
        <f t="shared" si="215"/>
        <v>9791137602113</v>
      </c>
      <c r="AV1065" t="str">
        <f t="shared" si="216"/>
        <v>판타지 웹소설 &gt; 현대 판타지</v>
      </c>
    </row>
    <row r="1066" spans="1:48" x14ac:dyDescent="0.4">
      <c r="A1066">
        <v>2313011955</v>
      </c>
      <c r="B1066">
        <v>2313012126</v>
      </c>
      <c r="C1066" t="str">
        <f>T("갓 오브 블랙필드 172화")</f>
        <v>갓 오브 블랙필드 172화</v>
      </c>
      <c r="D1066" t="str">
        <f>T("172")</f>
        <v>172</v>
      </c>
      <c r="E1066" t="str">
        <f t="shared" si="213"/>
        <v>무장</v>
      </c>
      <c r="H1066" t="str">
        <f t="shared" si="217"/>
        <v>스토리위즈</v>
      </c>
      <c r="I1066" t="str">
        <f t="shared" si="214"/>
        <v>갓 오브 블랙필드</v>
      </c>
      <c r="J1066">
        <v>100</v>
      </c>
      <c r="K1066">
        <v>900</v>
      </c>
      <c r="L1066">
        <v>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900</v>
      </c>
      <c r="AH1066">
        <v>9</v>
      </c>
      <c r="AI1066">
        <v>0</v>
      </c>
      <c r="AJ1066">
        <v>0</v>
      </c>
      <c r="AK1066">
        <v>900</v>
      </c>
      <c r="AL1066">
        <v>0</v>
      </c>
      <c r="AM1066">
        <v>0</v>
      </c>
      <c r="AN1066">
        <v>0</v>
      </c>
      <c r="AO1066">
        <v>0</v>
      </c>
      <c r="AP1066">
        <v>630</v>
      </c>
      <c r="AT1066" t="str">
        <f t="shared" si="215"/>
        <v>9791137602113</v>
      </c>
      <c r="AV1066" t="str">
        <f t="shared" si="216"/>
        <v>판타지 웹소설 &gt; 현대 판타지</v>
      </c>
    </row>
    <row r="1067" spans="1:48" x14ac:dyDescent="0.4">
      <c r="A1067">
        <v>2313011955</v>
      </c>
      <c r="B1067">
        <v>2313012127</v>
      </c>
      <c r="C1067" t="str">
        <f>T("갓 오브 블랙필드 173화")</f>
        <v>갓 오브 블랙필드 173화</v>
      </c>
      <c r="D1067" t="str">
        <f>T("173")</f>
        <v>173</v>
      </c>
      <c r="E1067" t="str">
        <f t="shared" si="213"/>
        <v>무장</v>
      </c>
      <c r="H1067" t="str">
        <f t="shared" si="217"/>
        <v>스토리위즈</v>
      </c>
      <c r="I1067" t="str">
        <f t="shared" si="214"/>
        <v>갓 오브 블랙필드</v>
      </c>
      <c r="J1067">
        <v>100</v>
      </c>
      <c r="K1067">
        <v>900</v>
      </c>
      <c r="L1067">
        <v>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900</v>
      </c>
      <c r="AH1067">
        <v>9</v>
      </c>
      <c r="AI1067">
        <v>0</v>
      </c>
      <c r="AJ1067">
        <v>0</v>
      </c>
      <c r="AK1067">
        <v>900</v>
      </c>
      <c r="AL1067">
        <v>0</v>
      </c>
      <c r="AM1067">
        <v>0</v>
      </c>
      <c r="AN1067">
        <v>0</v>
      </c>
      <c r="AO1067">
        <v>0</v>
      </c>
      <c r="AP1067">
        <v>630</v>
      </c>
      <c r="AT1067" t="str">
        <f t="shared" si="215"/>
        <v>9791137602113</v>
      </c>
      <c r="AV1067" t="str">
        <f t="shared" si="216"/>
        <v>판타지 웹소설 &gt; 현대 판타지</v>
      </c>
    </row>
    <row r="1068" spans="1:48" x14ac:dyDescent="0.4">
      <c r="A1068">
        <v>2313011955</v>
      </c>
      <c r="B1068">
        <v>2313012128</v>
      </c>
      <c r="C1068" t="str">
        <f>T("갓 오브 블랙필드 174화")</f>
        <v>갓 오브 블랙필드 174화</v>
      </c>
      <c r="D1068" t="str">
        <f>T("174")</f>
        <v>174</v>
      </c>
      <c r="E1068" t="str">
        <f t="shared" si="213"/>
        <v>무장</v>
      </c>
      <c r="H1068" t="str">
        <f t="shared" si="217"/>
        <v>스토리위즈</v>
      </c>
      <c r="I1068" t="str">
        <f t="shared" si="214"/>
        <v>갓 오브 블랙필드</v>
      </c>
      <c r="J1068">
        <v>100</v>
      </c>
      <c r="K1068">
        <v>900</v>
      </c>
      <c r="L1068">
        <v>9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900</v>
      </c>
      <c r="AH1068">
        <v>9</v>
      </c>
      <c r="AI1068">
        <v>0</v>
      </c>
      <c r="AJ1068">
        <v>0</v>
      </c>
      <c r="AK1068">
        <v>900</v>
      </c>
      <c r="AL1068">
        <v>0</v>
      </c>
      <c r="AM1068">
        <v>0</v>
      </c>
      <c r="AN1068">
        <v>0</v>
      </c>
      <c r="AO1068">
        <v>0</v>
      </c>
      <c r="AP1068">
        <v>630</v>
      </c>
      <c r="AT1068" t="str">
        <f t="shared" si="215"/>
        <v>9791137602113</v>
      </c>
      <c r="AV1068" t="str">
        <f t="shared" si="216"/>
        <v>판타지 웹소설 &gt; 현대 판타지</v>
      </c>
    </row>
    <row r="1069" spans="1:48" x14ac:dyDescent="0.4">
      <c r="A1069">
        <v>2313011955</v>
      </c>
      <c r="B1069">
        <v>2313012145</v>
      </c>
      <c r="C1069" t="str">
        <f>T("갓 오브 블랙필드 191화")</f>
        <v>갓 오브 블랙필드 191화</v>
      </c>
      <c r="D1069" t="str">
        <f>T("191")</f>
        <v>191</v>
      </c>
      <c r="E1069" t="str">
        <f t="shared" si="213"/>
        <v>무장</v>
      </c>
      <c r="H1069" t="str">
        <f t="shared" si="217"/>
        <v>스토리위즈</v>
      </c>
      <c r="I1069" t="str">
        <f t="shared" si="214"/>
        <v>갓 오브 블랙필드</v>
      </c>
      <c r="J1069">
        <v>100</v>
      </c>
      <c r="K1069">
        <v>900</v>
      </c>
      <c r="L1069">
        <v>9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900</v>
      </c>
      <c r="AH1069">
        <v>9</v>
      </c>
      <c r="AI1069">
        <v>0</v>
      </c>
      <c r="AJ1069">
        <v>0</v>
      </c>
      <c r="AK1069">
        <v>800</v>
      </c>
      <c r="AL1069">
        <v>0</v>
      </c>
      <c r="AM1069">
        <v>120</v>
      </c>
      <c r="AN1069">
        <v>-36</v>
      </c>
      <c r="AO1069">
        <v>0</v>
      </c>
      <c r="AP1069">
        <v>618.79999999999995</v>
      </c>
      <c r="AT1069" t="str">
        <f t="shared" si="215"/>
        <v>9791137602113</v>
      </c>
      <c r="AV1069" t="str">
        <f t="shared" si="216"/>
        <v>판타지 웹소설 &gt; 현대 판타지</v>
      </c>
    </row>
    <row r="1070" spans="1:48" x14ac:dyDescent="0.4">
      <c r="A1070">
        <v>2313011955</v>
      </c>
      <c r="B1070">
        <v>2313012146</v>
      </c>
      <c r="C1070" t="str">
        <f>T("갓 오브 블랙필드 192화")</f>
        <v>갓 오브 블랙필드 192화</v>
      </c>
      <c r="D1070" t="str">
        <f>T("192")</f>
        <v>192</v>
      </c>
      <c r="E1070" t="str">
        <f t="shared" si="213"/>
        <v>무장</v>
      </c>
      <c r="H1070" t="str">
        <f t="shared" si="217"/>
        <v>스토리위즈</v>
      </c>
      <c r="I1070" t="str">
        <f t="shared" si="214"/>
        <v>갓 오브 블랙필드</v>
      </c>
      <c r="J1070">
        <v>100</v>
      </c>
      <c r="K1070">
        <v>900</v>
      </c>
      <c r="L1070">
        <v>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900</v>
      </c>
      <c r="AH1070">
        <v>9</v>
      </c>
      <c r="AI1070">
        <v>0</v>
      </c>
      <c r="AJ1070">
        <v>0</v>
      </c>
      <c r="AK1070">
        <v>800</v>
      </c>
      <c r="AL1070">
        <v>0</v>
      </c>
      <c r="AM1070">
        <v>120</v>
      </c>
      <c r="AN1070">
        <v>-36</v>
      </c>
      <c r="AO1070">
        <v>0</v>
      </c>
      <c r="AP1070">
        <v>618.79999999999995</v>
      </c>
      <c r="AT1070" t="str">
        <f t="shared" si="215"/>
        <v>9791137602113</v>
      </c>
      <c r="AV1070" t="str">
        <f t="shared" si="216"/>
        <v>판타지 웹소설 &gt; 현대 판타지</v>
      </c>
    </row>
    <row r="1071" spans="1:48" x14ac:dyDescent="0.4">
      <c r="A1071">
        <v>2313011955</v>
      </c>
      <c r="B1071">
        <v>2313012147</v>
      </c>
      <c r="C1071" t="str">
        <f>T("갓 오브 블랙필드 193화")</f>
        <v>갓 오브 블랙필드 193화</v>
      </c>
      <c r="D1071" t="str">
        <f>T("193")</f>
        <v>193</v>
      </c>
      <c r="E1071" t="str">
        <f t="shared" si="213"/>
        <v>무장</v>
      </c>
      <c r="H1071" t="str">
        <f t="shared" si="217"/>
        <v>스토리위즈</v>
      </c>
      <c r="I1071" t="str">
        <f t="shared" si="214"/>
        <v>갓 오브 블랙필드</v>
      </c>
      <c r="J1071">
        <v>100</v>
      </c>
      <c r="K1071">
        <v>900</v>
      </c>
      <c r="L1071">
        <v>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900</v>
      </c>
      <c r="AH1071">
        <v>9</v>
      </c>
      <c r="AI1071">
        <v>0</v>
      </c>
      <c r="AJ1071">
        <v>0</v>
      </c>
      <c r="AK1071">
        <v>800</v>
      </c>
      <c r="AL1071">
        <v>0</v>
      </c>
      <c r="AM1071">
        <v>120</v>
      </c>
      <c r="AN1071">
        <v>-36</v>
      </c>
      <c r="AO1071">
        <v>0</v>
      </c>
      <c r="AP1071">
        <v>618.79999999999995</v>
      </c>
      <c r="AT1071" t="str">
        <f t="shared" si="215"/>
        <v>9791137602113</v>
      </c>
      <c r="AV1071" t="str">
        <f t="shared" si="216"/>
        <v>판타지 웹소설 &gt; 현대 판타지</v>
      </c>
    </row>
    <row r="1072" spans="1:48" x14ac:dyDescent="0.4">
      <c r="A1072">
        <v>2313011955</v>
      </c>
      <c r="B1072">
        <v>2313012155</v>
      </c>
      <c r="C1072" t="str">
        <f>T("갓 오브 블랙필드 201화")</f>
        <v>갓 오브 블랙필드 201화</v>
      </c>
      <c r="D1072" t="str">
        <f>T("201")</f>
        <v>201</v>
      </c>
      <c r="E1072" t="str">
        <f t="shared" si="213"/>
        <v>무장</v>
      </c>
      <c r="H1072" t="str">
        <f t="shared" si="217"/>
        <v>스토리위즈</v>
      </c>
      <c r="I1072" t="str">
        <f t="shared" si="214"/>
        <v>갓 오브 블랙필드</v>
      </c>
      <c r="J1072">
        <v>100</v>
      </c>
      <c r="K1072">
        <v>900</v>
      </c>
      <c r="L1072">
        <v>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900</v>
      </c>
      <c r="AH1072">
        <v>9</v>
      </c>
      <c r="AI1072">
        <v>0</v>
      </c>
      <c r="AJ1072">
        <v>0</v>
      </c>
      <c r="AK1072">
        <v>800</v>
      </c>
      <c r="AL1072">
        <v>0</v>
      </c>
      <c r="AM1072">
        <v>120</v>
      </c>
      <c r="AN1072">
        <v>-36</v>
      </c>
      <c r="AO1072">
        <v>0</v>
      </c>
      <c r="AP1072">
        <v>618.79999999999995</v>
      </c>
      <c r="AT1072" t="str">
        <f t="shared" si="215"/>
        <v>9791137602113</v>
      </c>
      <c r="AV1072" t="str">
        <f t="shared" si="216"/>
        <v>판타지 웹소설 &gt; 현대 판타지</v>
      </c>
    </row>
    <row r="1073" spans="1:49" x14ac:dyDescent="0.4">
      <c r="A1073">
        <v>2313011955</v>
      </c>
      <c r="B1073">
        <v>2313012156</v>
      </c>
      <c r="C1073" t="str">
        <f>T("갓 오브 블랙필드 202화")</f>
        <v>갓 오브 블랙필드 202화</v>
      </c>
      <c r="D1073" t="str">
        <f>T("202")</f>
        <v>202</v>
      </c>
      <c r="E1073" t="str">
        <f t="shared" si="213"/>
        <v>무장</v>
      </c>
      <c r="H1073" t="str">
        <f t="shared" si="217"/>
        <v>스토리위즈</v>
      </c>
      <c r="I1073" t="str">
        <f t="shared" si="214"/>
        <v>갓 오브 블랙필드</v>
      </c>
      <c r="J1073">
        <v>100</v>
      </c>
      <c r="K1073">
        <v>900</v>
      </c>
      <c r="L1073">
        <v>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900</v>
      </c>
      <c r="AH1073">
        <v>9</v>
      </c>
      <c r="AI1073">
        <v>0</v>
      </c>
      <c r="AJ1073">
        <v>0</v>
      </c>
      <c r="AK1073">
        <v>800</v>
      </c>
      <c r="AL1073">
        <v>0</v>
      </c>
      <c r="AM1073">
        <v>120</v>
      </c>
      <c r="AN1073">
        <v>-36</v>
      </c>
      <c r="AO1073">
        <v>0</v>
      </c>
      <c r="AP1073">
        <v>618.79999999999995</v>
      </c>
      <c r="AT1073" t="str">
        <f t="shared" si="215"/>
        <v>9791137602113</v>
      </c>
      <c r="AV1073" t="str">
        <f t="shared" si="216"/>
        <v>판타지 웹소설 &gt; 현대 판타지</v>
      </c>
    </row>
    <row r="1074" spans="1:49" x14ac:dyDescent="0.4">
      <c r="A1074">
        <v>2313012849</v>
      </c>
      <c r="B1074">
        <v>2313012948</v>
      </c>
      <c r="C1074" t="str">
        <f>T("디버프 마스터 100화")</f>
        <v>디버프 마스터 100화</v>
      </c>
      <c r="D1074" t="str">
        <f>T("100")</f>
        <v>100</v>
      </c>
      <c r="E1074" t="str">
        <f t="shared" ref="E1074:E1085" si="218">T("담화공")</f>
        <v>담화공</v>
      </c>
      <c r="H1074" t="str">
        <f t="shared" si="217"/>
        <v>스토리위즈</v>
      </c>
      <c r="I1074" t="str">
        <f t="shared" ref="I1074:I1085" si="219">T("디버프 마스터")</f>
        <v>디버프 마스터</v>
      </c>
      <c r="J1074">
        <v>100</v>
      </c>
      <c r="K1074">
        <v>900</v>
      </c>
      <c r="L1074">
        <v>9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900</v>
      </c>
      <c r="AH1074">
        <v>9</v>
      </c>
      <c r="AI1074">
        <v>0</v>
      </c>
      <c r="AJ1074">
        <v>0</v>
      </c>
      <c r="AK1074">
        <v>800</v>
      </c>
      <c r="AL1074">
        <v>0</v>
      </c>
      <c r="AM1074">
        <v>119.05</v>
      </c>
      <c r="AN1074">
        <v>-35.72</v>
      </c>
      <c r="AO1074">
        <v>0</v>
      </c>
      <c r="AP1074">
        <v>618.33000000000004</v>
      </c>
      <c r="AT1074" t="str">
        <f t="shared" ref="AT1074:AT1085" si="220">T("9791137602663")</f>
        <v>9791137602663</v>
      </c>
      <c r="AV1074" t="str">
        <f t="shared" ref="AV1074:AV1085" si="221">T("판타지 웹소설 &gt; 퓨전 판타지")</f>
        <v>판타지 웹소설 &gt; 퓨전 판타지</v>
      </c>
    </row>
    <row r="1075" spans="1:49" x14ac:dyDescent="0.4">
      <c r="A1075">
        <v>2313012849</v>
      </c>
      <c r="B1075">
        <v>2313012950</v>
      </c>
      <c r="C1075" t="str">
        <f>T("디버프 마스터 102화")</f>
        <v>디버프 마스터 102화</v>
      </c>
      <c r="D1075" t="str">
        <f>T("102")</f>
        <v>102</v>
      </c>
      <c r="E1075" t="str">
        <f t="shared" si="218"/>
        <v>담화공</v>
      </c>
      <c r="H1075" t="str">
        <f t="shared" si="217"/>
        <v>스토리위즈</v>
      </c>
      <c r="I1075" t="str">
        <f t="shared" si="219"/>
        <v>디버프 마스터</v>
      </c>
      <c r="J1075">
        <v>100</v>
      </c>
      <c r="K1075">
        <v>900</v>
      </c>
      <c r="L1075">
        <v>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900</v>
      </c>
      <c r="AH1075">
        <v>9</v>
      </c>
      <c r="AI1075">
        <v>0</v>
      </c>
      <c r="AJ1075">
        <v>0</v>
      </c>
      <c r="AK1075">
        <v>800</v>
      </c>
      <c r="AL1075">
        <v>0</v>
      </c>
      <c r="AM1075">
        <v>119.05</v>
      </c>
      <c r="AN1075">
        <v>-35.72</v>
      </c>
      <c r="AO1075">
        <v>0</v>
      </c>
      <c r="AP1075">
        <v>618.33000000000004</v>
      </c>
      <c r="AT1075" t="str">
        <f t="shared" si="220"/>
        <v>9791137602663</v>
      </c>
      <c r="AV1075" t="str">
        <f t="shared" si="221"/>
        <v>판타지 웹소설 &gt; 퓨전 판타지</v>
      </c>
    </row>
    <row r="1076" spans="1:49" x14ac:dyDescent="0.4">
      <c r="A1076">
        <v>2313012849</v>
      </c>
      <c r="B1076">
        <v>2313012951</v>
      </c>
      <c r="C1076" t="str">
        <f>T("디버프 마스터 103화")</f>
        <v>디버프 마스터 103화</v>
      </c>
      <c r="D1076" t="str">
        <f>T("103")</f>
        <v>103</v>
      </c>
      <c r="E1076" t="str">
        <f t="shared" si="218"/>
        <v>담화공</v>
      </c>
      <c r="H1076" t="str">
        <f t="shared" si="217"/>
        <v>스토리위즈</v>
      </c>
      <c r="I1076" t="str">
        <f t="shared" si="219"/>
        <v>디버프 마스터</v>
      </c>
      <c r="J1076">
        <v>100</v>
      </c>
      <c r="K1076">
        <v>900</v>
      </c>
      <c r="L1076">
        <v>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900</v>
      </c>
      <c r="AH1076">
        <v>9</v>
      </c>
      <c r="AI1076">
        <v>0</v>
      </c>
      <c r="AJ1076">
        <v>0</v>
      </c>
      <c r="AK1076">
        <v>800</v>
      </c>
      <c r="AL1076">
        <v>0</v>
      </c>
      <c r="AM1076">
        <v>119.05</v>
      </c>
      <c r="AN1076">
        <v>-35.72</v>
      </c>
      <c r="AO1076">
        <v>0</v>
      </c>
      <c r="AP1076">
        <v>618.33000000000004</v>
      </c>
      <c r="AT1076" t="str">
        <f t="shared" si="220"/>
        <v>9791137602663</v>
      </c>
      <c r="AV1076" t="str">
        <f t="shared" si="221"/>
        <v>판타지 웹소설 &gt; 퓨전 판타지</v>
      </c>
    </row>
    <row r="1077" spans="1:49" x14ac:dyDescent="0.4">
      <c r="A1077">
        <v>2313012849</v>
      </c>
      <c r="B1077">
        <v>2313012952</v>
      </c>
      <c r="C1077" t="str">
        <f>T("디버프 마스터 104화")</f>
        <v>디버프 마스터 104화</v>
      </c>
      <c r="D1077" t="str">
        <f>T("104")</f>
        <v>104</v>
      </c>
      <c r="E1077" t="str">
        <f t="shared" si="218"/>
        <v>담화공</v>
      </c>
      <c r="H1077" t="str">
        <f t="shared" si="217"/>
        <v>스토리위즈</v>
      </c>
      <c r="I1077" t="str">
        <f t="shared" si="219"/>
        <v>디버프 마스터</v>
      </c>
      <c r="J1077">
        <v>100</v>
      </c>
      <c r="K1077">
        <v>900</v>
      </c>
      <c r="L1077">
        <v>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900</v>
      </c>
      <c r="AH1077">
        <v>9</v>
      </c>
      <c r="AI1077">
        <v>0</v>
      </c>
      <c r="AJ1077">
        <v>0</v>
      </c>
      <c r="AK1077">
        <v>800</v>
      </c>
      <c r="AL1077">
        <v>0</v>
      </c>
      <c r="AM1077">
        <v>119.05</v>
      </c>
      <c r="AN1077">
        <v>-35.72</v>
      </c>
      <c r="AO1077">
        <v>0</v>
      </c>
      <c r="AP1077">
        <v>618.33000000000004</v>
      </c>
      <c r="AT1077" t="str">
        <f t="shared" si="220"/>
        <v>9791137602663</v>
      </c>
      <c r="AV1077" t="str">
        <f t="shared" si="221"/>
        <v>판타지 웹소설 &gt; 퓨전 판타지</v>
      </c>
    </row>
    <row r="1078" spans="1:49" x14ac:dyDescent="0.4">
      <c r="A1078">
        <v>2313012849</v>
      </c>
      <c r="B1078">
        <v>2313012953</v>
      </c>
      <c r="C1078" t="str">
        <f>T("디버프 마스터 105화")</f>
        <v>디버프 마스터 105화</v>
      </c>
      <c r="D1078" t="str">
        <f>T("105")</f>
        <v>105</v>
      </c>
      <c r="E1078" t="str">
        <f t="shared" si="218"/>
        <v>담화공</v>
      </c>
      <c r="H1078" t="str">
        <f t="shared" si="217"/>
        <v>스토리위즈</v>
      </c>
      <c r="I1078" t="str">
        <f t="shared" si="219"/>
        <v>디버프 마스터</v>
      </c>
      <c r="J1078">
        <v>100</v>
      </c>
      <c r="K1078">
        <v>900</v>
      </c>
      <c r="L1078">
        <v>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900</v>
      </c>
      <c r="AH1078">
        <v>9</v>
      </c>
      <c r="AI1078">
        <v>0</v>
      </c>
      <c r="AJ1078">
        <v>0</v>
      </c>
      <c r="AK1078">
        <v>800</v>
      </c>
      <c r="AL1078">
        <v>0</v>
      </c>
      <c r="AM1078">
        <v>119.05</v>
      </c>
      <c r="AN1078">
        <v>-35.72</v>
      </c>
      <c r="AO1078">
        <v>0</v>
      </c>
      <c r="AP1078">
        <v>618.33000000000004</v>
      </c>
      <c r="AT1078" t="str">
        <f t="shared" si="220"/>
        <v>9791137602663</v>
      </c>
      <c r="AV1078" t="str">
        <f t="shared" si="221"/>
        <v>판타지 웹소설 &gt; 퓨전 판타지</v>
      </c>
    </row>
    <row r="1079" spans="1:49" x14ac:dyDescent="0.4">
      <c r="A1079">
        <v>2313012849</v>
      </c>
      <c r="B1079">
        <v>2313012954</v>
      </c>
      <c r="C1079" t="str">
        <f>T("디버프 마스터 106화")</f>
        <v>디버프 마스터 106화</v>
      </c>
      <c r="D1079" t="str">
        <f>T("106")</f>
        <v>106</v>
      </c>
      <c r="E1079" t="str">
        <f t="shared" si="218"/>
        <v>담화공</v>
      </c>
      <c r="H1079" t="str">
        <f t="shared" si="217"/>
        <v>스토리위즈</v>
      </c>
      <c r="I1079" t="str">
        <f t="shared" si="219"/>
        <v>디버프 마스터</v>
      </c>
      <c r="J1079">
        <v>100</v>
      </c>
      <c r="K1079">
        <v>900</v>
      </c>
      <c r="L1079">
        <v>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900</v>
      </c>
      <c r="AH1079">
        <v>9</v>
      </c>
      <c r="AI1079">
        <v>0</v>
      </c>
      <c r="AJ1079">
        <v>0</v>
      </c>
      <c r="AK1079">
        <v>800</v>
      </c>
      <c r="AL1079">
        <v>0</v>
      </c>
      <c r="AM1079">
        <v>119.05</v>
      </c>
      <c r="AN1079">
        <v>-35.72</v>
      </c>
      <c r="AO1079">
        <v>0</v>
      </c>
      <c r="AP1079">
        <v>618.33000000000004</v>
      </c>
      <c r="AT1079" t="str">
        <f t="shared" si="220"/>
        <v>9791137602663</v>
      </c>
      <c r="AV1079" t="str">
        <f t="shared" si="221"/>
        <v>판타지 웹소설 &gt; 퓨전 판타지</v>
      </c>
    </row>
    <row r="1080" spans="1:49" x14ac:dyDescent="0.4">
      <c r="A1080">
        <v>2313012849</v>
      </c>
      <c r="B1080">
        <v>2313012955</v>
      </c>
      <c r="C1080" t="str">
        <f>T("디버프 마스터 107화")</f>
        <v>디버프 마스터 107화</v>
      </c>
      <c r="D1080" t="str">
        <f>T("107")</f>
        <v>107</v>
      </c>
      <c r="E1080" t="str">
        <f t="shared" si="218"/>
        <v>담화공</v>
      </c>
      <c r="H1080" t="str">
        <f t="shared" si="217"/>
        <v>스토리위즈</v>
      </c>
      <c r="I1080" t="str">
        <f t="shared" si="219"/>
        <v>디버프 마스터</v>
      </c>
      <c r="J1080">
        <v>100</v>
      </c>
      <c r="K1080">
        <v>900</v>
      </c>
      <c r="L1080">
        <v>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900</v>
      </c>
      <c r="AH1080">
        <v>9</v>
      </c>
      <c r="AI1080">
        <v>0</v>
      </c>
      <c r="AJ1080">
        <v>0</v>
      </c>
      <c r="AK1080">
        <v>800</v>
      </c>
      <c r="AL1080">
        <v>0</v>
      </c>
      <c r="AM1080">
        <v>119.05</v>
      </c>
      <c r="AN1080">
        <v>-35.72</v>
      </c>
      <c r="AO1080">
        <v>0</v>
      </c>
      <c r="AP1080">
        <v>618.33000000000004</v>
      </c>
      <c r="AT1080" t="str">
        <f t="shared" si="220"/>
        <v>9791137602663</v>
      </c>
      <c r="AV1080" t="str">
        <f t="shared" si="221"/>
        <v>판타지 웹소설 &gt; 퓨전 판타지</v>
      </c>
    </row>
    <row r="1081" spans="1:49" x14ac:dyDescent="0.4">
      <c r="A1081">
        <v>2313012849</v>
      </c>
      <c r="B1081">
        <v>2313012956</v>
      </c>
      <c r="C1081" t="str">
        <f>T("디버프 마스터 108화")</f>
        <v>디버프 마스터 108화</v>
      </c>
      <c r="D1081" t="str">
        <f>T("108")</f>
        <v>108</v>
      </c>
      <c r="E1081" t="str">
        <f t="shared" si="218"/>
        <v>담화공</v>
      </c>
      <c r="H1081" t="str">
        <f t="shared" si="217"/>
        <v>스토리위즈</v>
      </c>
      <c r="I1081" t="str">
        <f t="shared" si="219"/>
        <v>디버프 마스터</v>
      </c>
      <c r="J1081">
        <v>100</v>
      </c>
      <c r="K1081">
        <v>900</v>
      </c>
      <c r="L1081">
        <v>9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900</v>
      </c>
      <c r="AH1081">
        <v>9</v>
      </c>
      <c r="AI1081">
        <v>0</v>
      </c>
      <c r="AJ1081">
        <v>0</v>
      </c>
      <c r="AK1081">
        <v>800</v>
      </c>
      <c r="AL1081">
        <v>0</v>
      </c>
      <c r="AM1081">
        <v>119.05</v>
      </c>
      <c r="AN1081">
        <v>-35.72</v>
      </c>
      <c r="AO1081">
        <v>0</v>
      </c>
      <c r="AP1081">
        <v>618.33000000000004</v>
      </c>
      <c r="AT1081" t="str">
        <f t="shared" si="220"/>
        <v>9791137602663</v>
      </c>
      <c r="AV1081" t="str">
        <f t="shared" si="221"/>
        <v>판타지 웹소설 &gt; 퓨전 판타지</v>
      </c>
    </row>
    <row r="1082" spans="1:49" x14ac:dyDescent="0.4">
      <c r="A1082">
        <v>2313012849</v>
      </c>
      <c r="B1082">
        <v>2313012966</v>
      </c>
      <c r="C1082" t="str">
        <f>T("디버프 마스터 118화")</f>
        <v>디버프 마스터 118화</v>
      </c>
      <c r="D1082" t="str">
        <f>T("118")</f>
        <v>118</v>
      </c>
      <c r="E1082" t="str">
        <f t="shared" si="218"/>
        <v>담화공</v>
      </c>
      <c r="H1082" t="str">
        <f t="shared" si="217"/>
        <v>스토리위즈</v>
      </c>
      <c r="I1082" t="str">
        <f t="shared" si="219"/>
        <v>디버프 마스터</v>
      </c>
      <c r="J1082">
        <v>100</v>
      </c>
      <c r="K1082">
        <v>900</v>
      </c>
      <c r="L1082">
        <v>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900</v>
      </c>
      <c r="AH1082">
        <v>9</v>
      </c>
      <c r="AI1082">
        <v>0</v>
      </c>
      <c r="AJ1082">
        <v>0</v>
      </c>
      <c r="AK1082">
        <v>800</v>
      </c>
      <c r="AL1082">
        <v>0</v>
      </c>
      <c r="AM1082">
        <v>119.05</v>
      </c>
      <c r="AN1082">
        <v>-35.72</v>
      </c>
      <c r="AO1082">
        <v>0</v>
      </c>
      <c r="AP1082">
        <v>618.33000000000004</v>
      </c>
      <c r="AT1082" t="str">
        <f t="shared" si="220"/>
        <v>9791137602663</v>
      </c>
      <c r="AV1082" t="str">
        <f t="shared" si="221"/>
        <v>판타지 웹소설 &gt; 퓨전 판타지</v>
      </c>
    </row>
    <row r="1083" spans="1:49" x14ac:dyDescent="0.4">
      <c r="A1083">
        <v>2313012849</v>
      </c>
      <c r="B1083">
        <v>2313012968</v>
      </c>
      <c r="C1083" t="str">
        <f>T("디버프 마스터 120화")</f>
        <v>디버프 마스터 120화</v>
      </c>
      <c r="D1083" t="str">
        <f>T("120")</f>
        <v>120</v>
      </c>
      <c r="E1083" t="str">
        <f t="shared" si="218"/>
        <v>담화공</v>
      </c>
      <c r="H1083" t="str">
        <f t="shared" si="217"/>
        <v>스토리위즈</v>
      </c>
      <c r="I1083" t="str">
        <f t="shared" si="219"/>
        <v>디버프 마스터</v>
      </c>
      <c r="J1083">
        <v>100</v>
      </c>
      <c r="K1083">
        <v>900</v>
      </c>
      <c r="L1083">
        <v>9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900</v>
      </c>
      <c r="AH1083">
        <v>9</v>
      </c>
      <c r="AI1083">
        <v>0</v>
      </c>
      <c r="AJ1083">
        <v>0</v>
      </c>
      <c r="AK1083">
        <v>800</v>
      </c>
      <c r="AL1083">
        <v>0</v>
      </c>
      <c r="AM1083">
        <v>119.05</v>
      </c>
      <c r="AN1083">
        <v>-35.72</v>
      </c>
      <c r="AO1083">
        <v>0</v>
      </c>
      <c r="AP1083">
        <v>618.33000000000004</v>
      </c>
      <c r="AT1083" t="str">
        <f t="shared" si="220"/>
        <v>9791137602663</v>
      </c>
      <c r="AV1083" t="str">
        <f t="shared" si="221"/>
        <v>판타지 웹소설 &gt; 퓨전 판타지</v>
      </c>
    </row>
    <row r="1084" spans="1:49" x14ac:dyDescent="0.4">
      <c r="A1084">
        <v>2313012849</v>
      </c>
      <c r="B1084">
        <v>2313012970</v>
      </c>
      <c r="C1084" t="str">
        <f>T("디버프 마스터 122화")</f>
        <v>디버프 마스터 122화</v>
      </c>
      <c r="D1084" t="str">
        <f>T("122")</f>
        <v>122</v>
      </c>
      <c r="E1084" t="str">
        <f t="shared" si="218"/>
        <v>담화공</v>
      </c>
      <c r="H1084" t="str">
        <f t="shared" si="217"/>
        <v>스토리위즈</v>
      </c>
      <c r="I1084" t="str">
        <f t="shared" si="219"/>
        <v>디버프 마스터</v>
      </c>
      <c r="J1084">
        <v>100</v>
      </c>
      <c r="K1084">
        <v>900</v>
      </c>
      <c r="L1084">
        <v>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900</v>
      </c>
      <c r="AH1084">
        <v>9</v>
      </c>
      <c r="AI1084">
        <v>0</v>
      </c>
      <c r="AJ1084">
        <v>0</v>
      </c>
      <c r="AK1084">
        <v>800</v>
      </c>
      <c r="AL1084">
        <v>0</v>
      </c>
      <c r="AM1084">
        <v>119.05</v>
      </c>
      <c r="AN1084">
        <v>-35.72</v>
      </c>
      <c r="AO1084">
        <v>0</v>
      </c>
      <c r="AP1084">
        <v>618.33000000000004</v>
      </c>
      <c r="AT1084" t="str">
        <f t="shared" si="220"/>
        <v>9791137602663</v>
      </c>
      <c r="AV1084" t="str">
        <f t="shared" si="221"/>
        <v>판타지 웹소설 &gt; 퓨전 판타지</v>
      </c>
    </row>
    <row r="1085" spans="1:49" x14ac:dyDescent="0.4">
      <c r="A1085">
        <v>2313012849</v>
      </c>
      <c r="B1085">
        <v>2313012971</v>
      </c>
      <c r="C1085" t="str">
        <f>T("디버프 마스터 123화")</f>
        <v>디버프 마스터 123화</v>
      </c>
      <c r="D1085" t="str">
        <f>T("123")</f>
        <v>123</v>
      </c>
      <c r="E1085" t="str">
        <f t="shared" si="218"/>
        <v>담화공</v>
      </c>
      <c r="H1085" t="str">
        <f t="shared" si="217"/>
        <v>스토리위즈</v>
      </c>
      <c r="I1085" t="str">
        <f t="shared" si="219"/>
        <v>디버프 마스터</v>
      </c>
      <c r="J1085">
        <v>100</v>
      </c>
      <c r="K1085">
        <v>900</v>
      </c>
      <c r="L1085">
        <v>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900</v>
      </c>
      <c r="AH1085">
        <v>9</v>
      </c>
      <c r="AI1085">
        <v>0</v>
      </c>
      <c r="AJ1085">
        <v>0</v>
      </c>
      <c r="AK1085">
        <v>800</v>
      </c>
      <c r="AL1085">
        <v>0</v>
      </c>
      <c r="AM1085">
        <v>119.05</v>
      </c>
      <c r="AN1085">
        <v>-35.72</v>
      </c>
      <c r="AO1085">
        <v>0</v>
      </c>
      <c r="AP1085">
        <v>618.33000000000004</v>
      </c>
      <c r="AT1085" t="str">
        <f t="shared" si="220"/>
        <v>9791137602663</v>
      </c>
      <c r="AV1085" t="str">
        <f t="shared" si="221"/>
        <v>판타지 웹소설 &gt; 퓨전 판타지</v>
      </c>
    </row>
    <row r="1086" spans="1:49" x14ac:dyDescent="0.4">
      <c r="A1086">
        <v>2313017052</v>
      </c>
      <c r="B1086">
        <v>2313017012</v>
      </c>
      <c r="C1086" t="str">
        <f>T("[e북]기어이 사랑 (외전)")</f>
        <v>[e북]기어이 사랑 (외전)</v>
      </c>
      <c r="D1086" t="str">
        <f>T("3")</f>
        <v>3</v>
      </c>
      <c r="E1086" t="str">
        <f>T("차홍주")</f>
        <v>차홍주</v>
      </c>
      <c r="H1086" t="str">
        <f>T("도서출판 태랑")</f>
        <v>도서출판 태랑</v>
      </c>
      <c r="I1086" t="str">
        <f>T("[e북]기어이 사랑")</f>
        <v>[e북]기어이 사랑</v>
      </c>
      <c r="J1086">
        <v>300</v>
      </c>
      <c r="K1086">
        <v>900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900</v>
      </c>
      <c r="AH1086">
        <v>3</v>
      </c>
      <c r="AI1086">
        <v>0</v>
      </c>
      <c r="AJ1086">
        <v>0</v>
      </c>
      <c r="AK1086">
        <v>900</v>
      </c>
      <c r="AL1086">
        <v>0</v>
      </c>
      <c r="AM1086">
        <v>0</v>
      </c>
      <c r="AN1086">
        <v>0</v>
      </c>
      <c r="AO1086">
        <v>0</v>
      </c>
      <c r="AP1086">
        <v>630</v>
      </c>
      <c r="AT1086" t="str">
        <f>T("9791164371723")</f>
        <v>9791164371723</v>
      </c>
      <c r="AV1086" t="str">
        <f>T("로맨스 e북 &gt; 현대물")</f>
        <v>로맨스 e북 &gt; 현대물</v>
      </c>
      <c r="AW1086" t="str">
        <f>T("로맨스 e북 &gt; 19+")</f>
        <v>로맨스 e북 &gt; 19+</v>
      </c>
    </row>
    <row r="1087" spans="1:49" x14ac:dyDescent="0.4">
      <c r="A1087">
        <v>2313017065</v>
      </c>
      <c r="B1087">
        <v>2313017024</v>
      </c>
      <c r="C1087" t="str">
        <f>T("[e북]로맨틱 크러시 (외전)")</f>
        <v>[e북]로맨틱 크러시 (외전)</v>
      </c>
      <c r="D1087" t="str">
        <f>T("3")</f>
        <v>3</v>
      </c>
      <c r="E1087" t="str">
        <f>T("망나니개")</f>
        <v>망나니개</v>
      </c>
      <c r="H1087" t="str">
        <f>T("도서출판 태랑")</f>
        <v>도서출판 태랑</v>
      </c>
      <c r="I1087" t="str">
        <f>T("[e북]로맨틱 크러시")</f>
        <v>[e북]로맨틱 크러시</v>
      </c>
      <c r="J1087">
        <v>300</v>
      </c>
      <c r="K1087">
        <v>900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900</v>
      </c>
      <c r="AH1087">
        <v>3</v>
      </c>
      <c r="AI1087">
        <v>0</v>
      </c>
      <c r="AJ1087">
        <v>0</v>
      </c>
      <c r="AK1087">
        <v>900</v>
      </c>
      <c r="AL1087">
        <v>0</v>
      </c>
      <c r="AM1087">
        <v>0</v>
      </c>
      <c r="AN1087">
        <v>0</v>
      </c>
      <c r="AO1087">
        <v>0</v>
      </c>
      <c r="AP1087">
        <v>630</v>
      </c>
      <c r="AT1087" t="str">
        <f>T("9791164371303")</f>
        <v>9791164371303</v>
      </c>
      <c r="AV1087" t="str">
        <f>T("BL 소설 e북 &gt; 판타지물")</f>
        <v>BL 소설 e북 &gt; 판타지물</v>
      </c>
    </row>
    <row r="1088" spans="1:49" x14ac:dyDescent="0.4">
      <c r="A1088">
        <v>2313017063</v>
      </c>
      <c r="B1088">
        <v>2313017030</v>
      </c>
      <c r="C1088" t="str">
        <f>T("[e북]충동적인 결혼 (외전)")</f>
        <v>[e북]충동적인 결혼 (외전)</v>
      </c>
      <c r="D1088" t="str">
        <f>T("2")</f>
        <v>2</v>
      </c>
      <c r="E1088" t="str">
        <f>T("차홍주")</f>
        <v>차홍주</v>
      </c>
      <c r="H1088" t="str">
        <f>T("도서출판 태랑")</f>
        <v>도서출판 태랑</v>
      </c>
      <c r="I1088" t="str">
        <f>T("[e북]충동적인 결혼")</f>
        <v>[e북]충동적인 결혼</v>
      </c>
      <c r="J1088">
        <v>300</v>
      </c>
      <c r="K1088">
        <v>900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900</v>
      </c>
      <c r="AH1088">
        <v>3</v>
      </c>
      <c r="AI1088">
        <v>0</v>
      </c>
      <c r="AJ1088">
        <v>0</v>
      </c>
      <c r="AK1088">
        <v>900</v>
      </c>
      <c r="AL1088">
        <v>0</v>
      </c>
      <c r="AM1088">
        <v>0</v>
      </c>
      <c r="AN1088">
        <v>0</v>
      </c>
      <c r="AO1088">
        <v>0</v>
      </c>
      <c r="AP1088">
        <v>630</v>
      </c>
      <c r="AT1088" t="str">
        <f>T("9791164371198")</f>
        <v>9791164371198</v>
      </c>
      <c r="AV1088" t="str">
        <f>T("로맨스 e북 &gt; 현대물")</f>
        <v>로맨스 e북 &gt; 현대물</v>
      </c>
      <c r="AW1088" t="str">
        <f>T("로맨스 e북 &gt; 19+")</f>
        <v>로맨스 e북 &gt; 19+</v>
      </c>
    </row>
    <row r="1089" spans="1:48" x14ac:dyDescent="0.4">
      <c r="A1089">
        <v>2313017070</v>
      </c>
      <c r="B1089">
        <v>2313017036</v>
      </c>
      <c r="C1089" t="str">
        <f>T("[e북]아이 컨택 (외전)")</f>
        <v>[e북]아이 컨택 (외전)</v>
      </c>
      <c r="D1089" t="str">
        <f>T("3")</f>
        <v>3</v>
      </c>
      <c r="E1089" t="str">
        <f>T("모리미")</f>
        <v>모리미</v>
      </c>
      <c r="H1089" t="str">
        <f>T("도서출판 태랑")</f>
        <v>도서출판 태랑</v>
      </c>
      <c r="I1089" t="str">
        <f>T("[e북]아이 컨택")</f>
        <v>[e북]아이 컨택</v>
      </c>
      <c r="J1089">
        <v>300</v>
      </c>
      <c r="K1089">
        <v>900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900</v>
      </c>
      <c r="AH1089">
        <v>3</v>
      </c>
      <c r="AI1089">
        <v>0</v>
      </c>
      <c r="AJ1089">
        <v>0</v>
      </c>
      <c r="AK1089">
        <v>900</v>
      </c>
      <c r="AL1089">
        <v>0</v>
      </c>
      <c r="AM1089">
        <v>0</v>
      </c>
      <c r="AN1089">
        <v>0</v>
      </c>
      <c r="AO1089">
        <v>0</v>
      </c>
      <c r="AP1089">
        <v>630</v>
      </c>
      <c r="AT1089" t="str">
        <f>T("9791164371020")</f>
        <v>9791164371020</v>
      </c>
      <c r="AV1089" t="str">
        <f>T("BL 소설 e북 &gt; 현대물")</f>
        <v>BL 소설 e북 &gt; 현대물</v>
      </c>
    </row>
    <row r="1090" spans="1:48" x14ac:dyDescent="0.4">
      <c r="A1090">
        <v>2313007845</v>
      </c>
      <c r="B1090">
        <v>2313008041</v>
      </c>
      <c r="C1090" t="str">
        <f>T("간신이 나라를 살림 197화")</f>
        <v>간신이 나라를 살림 197화</v>
      </c>
      <c r="D1090" t="str">
        <f>T("197")</f>
        <v>197</v>
      </c>
      <c r="E1090" t="str">
        <f>T("루이세")</f>
        <v>루이세</v>
      </c>
      <c r="H1090" t="str">
        <f t="shared" ref="H1090:H1153" si="222">T("스토리위즈")</f>
        <v>스토리위즈</v>
      </c>
      <c r="I1090" t="str">
        <f>T("간신이 나라를 살림")</f>
        <v>간신이 나라를 살림</v>
      </c>
      <c r="J1090">
        <v>100</v>
      </c>
      <c r="K1090">
        <v>800</v>
      </c>
      <c r="L1090">
        <v>8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800</v>
      </c>
      <c r="AH1090">
        <v>8</v>
      </c>
      <c r="AI1090">
        <v>0</v>
      </c>
      <c r="AJ1090">
        <v>0</v>
      </c>
      <c r="AK1090">
        <v>800</v>
      </c>
      <c r="AL1090">
        <v>0</v>
      </c>
      <c r="AM1090">
        <v>0</v>
      </c>
      <c r="AN1090">
        <v>0</v>
      </c>
      <c r="AO1090">
        <v>0</v>
      </c>
      <c r="AP1090">
        <v>560</v>
      </c>
      <c r="AT1090" t="str">
        <f>T("9791159284663")</f>
        <v>9791159284663</v>
      </c>
      <c r="AV1090" t="str">
        <f>T("판타지 웹소설 &gt; 퓨전 판타지")</f>
        <v>판타지 웹소설 &gt; 퓨전 판타지</v>
      </c>
    </row>
    <row r="1091" spans="1:48" x14ac:dyDescent="0.4">
      <c r="A1091">
        <v>2313007845</v>
      </c>
      <c r="B1091">
        <v>2313008064</v>
      </c>
      <c r="C1091" t="str">
        <f>T("간신이 나라를 살림 220화")</f>
        <v>간신이 나라를 살림 220화</v>
      </c>
      <c r="D1091" t="str">
        <f>T("220")</f>
        <v>220</v>
      </c>
      <c r="E1091" t="str">
        <f>T("루이세")</f>
        <v>루이세</v>
      </c>
      <c r="H1091" t="str">
        <f t="shared" si="222"/>
        <v>스토리위즈</v>
      </c>
      <c r="I1091" t="str">
        <f>T("간신이 나라를 살림")</f>
        <v>간신이 나라를 살림</v>
      </c>
      <c r="J1091">
        <v>100</v>
      </c>
      <c r="K1091">
        <v>800</v>
      </c>
      <c r="L1091">
        <v>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800</v>
      </c>
      <c r="AH1091">
        <v>8</v>
      </c>
      <c r="AI1091">
        <v>0</v>
      </c>
      <c r="AJ1091">
        <v>0</v>
      </c>
      <c r="AK1091">
        <v>800</v>
      </c>
      <c r="AL1091">
        <v>0</v>
      </c>
      <c r="AM1091">
        <v>0</v>
      </c>
      <c r="AN1091">
        <v>0</v>
      </c>
      <c r="AO1091">
        <v>0</v>
      </c>
      <c r="AP1091">
        <v>560</v>
      </c>
      <c r="AT1091" t="str">
        <f>T("9791159284663")</f>
        <v>9791159284663</v>
      </c>
      <c r="AV1091" t="str">
        <f>T("판타지 웹소설 &gt; 퓨전 판타지")</f>
        <v>판타지 웹소설 &gt; 퓨전 판타지</v>
      </c>
    </row>
    <row r="1092" spans="1:48" x14ac:dyDescent="0.4">
      <c r="A1092">
        <v>2313007845</v>
      </c>
      <c r="B1092">
        <v>2313008068</v>
      </c>
      <c r="C1092" t="str">
        <f>T("간신이 나라를 살림 224화")</f>
        <v>간신이 나라를 살림 224화</v>
      </c>
      <c r="D1092" t="str">
        <f>T("224")</f>
        <v>224</v>
      </c>
      <c r="E1092" t="str">
        <f>T("루이세")</f>
        <v>루이세</v>
      </c>
      <c r="H1092" t="str">
        <f t="shared" si="222"/>
        <v>스토리위즈</v>
      </c>
      <c r="I1092" t="str">
        <f>T("간신이 나라를 살림")</f>
        <v>간신이 나라를 살림</v>
      </c>
      <c r="J1092">
        <v>100</v>
      </c>
      <c r="K1092">
        <v>800</v>
      </c>
      <c r="L1092">
        <v>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800</v>
      </c>
      <c r="AH1092">
        <v>8</v>
      </c>
      <c r="AI1092">
        <v>0</v>
      </c>
      <c r="AJ1092">
        <v>0</v>
      </c>
      <c r="AK1092">
        <v>800</v>
      </c>
      <c r="AL1092">
        <v>0</v>
      </c>
      <c r="AM1092">
        <v>0</v>
      </c>
      <c r="AN1092">
        <v>0</v>
      </c>
      <c r="AO1092">
        <v>0</v>
      </c>
      <c r="AP1092">
        <v>560</v>
      </c>
      <c r="AT1092" t="str">
        <f>T("9791159284663")</f>
        <v>9791159284663</v>
      </c>
      <c r="AV1092" t="str">
        <f>T("판타지 웹소설 &gt; 퓨전 판타지")</f>
        <v>판타지 웹소설 &gt; 퓨전 판타지</v>
      </c>
    </row>
    <row r="1093" spans="1:48" x14ac:dyDescent="0.4">
      <c r="A1093">
        <v>2313011955</v>
      </c>
      <c r="B1093">
        <v>2313011991</v>
      </c>
      <c r="C1093" t="str">
        <f>T("갓 오브 블랙필드 37화")</f>
        <v>갓 오브 블랙필드 37화</v>
      </c>
      <c r="D1093" t="str">
        <f>T("37")</f>
        <v>37</v>
      </c>
      <c r="E1093" t="str">
        <f t="shared" ref="E1093:E1145" si="223">T("무장")</f>
        <v>무장</v>
      </c>
      <c r="H1093" t="str">
        <f t="shared" si="222"/>
        <v>스토리위즈</v>
      </c>
      <c r="I1093" t="str">
        <f t="shared" ref="I1093:I1145" si="224">T("갓 오브 블랙필드")</f>
        <v>갓 오브 블랙필드</v>
      </c>
      <c r="J1093">
        <v>100</v>
      </c>
      <c r="K1093">
        <v>800</v>
      </c>
      <c r="L1093">
        <v>8</v>
      </c>
      <c r="M1093">
        <v>0</v>
      </c>
      <c r="N1093">
        <v>0</v>
      </c>
      <c r="O1093">
        <v>0</v>
      </c>
      <c r="P1093">
        <v>41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800</v>
      </c>
      <c r="AH1093">
        <v>49</v>
      </c>
      <c r="AI1093">
        <v>0</v>
      </c>
      <c r="AJ1093">
        <v>0</v>
      </c>
      <c r="AK1093">
        <v>800</v>
      </c>
      <c r="AL1093">
        <v>0</v>
      </c>
      <c r="AM1093">
        <v>0</v>
      </c>
      <c r="AN1093">
        <v>0</v>
      </c>
      <c r="AO1093">
        <v>0</v>
      </c>
      <c r="AP1093">
        <v>560</v>
      </c>
      <c r="AT1093" t="str">
        <f t="shared" ref="AT1093:AT1145" si="225">T("9791137602113")</f>
        <v>9791137602113</v>
      </c>
      <c r="AV1093" t="str">
        <f t="shared" ref="AV1093:AV1145" si="226">T("판타지 웹소설 &gt; 현대 판타지")</f>
        <v>판타지 웹소설 &gt; 현대 판타지</v>
      </c>
    </row>
    <row r="1094" spans="1:48" x14ac:dyDescent="0.4">
      <c r="A1094">
        <v>2313011955</v>
      </c>
      <c r="B1094">
        <v>2313011992</v>
      </c>
      <c r="C1094" t="str">
        <f>T("갓 오브 블랙필드 38화")</f>
        <v>갓 오브 블랙필드 38화</v>
      </c>
      <c r="D1094" t="str">
        <f>T("38")</f>
        <v>38</v>
      </c>
      <c r="E1094" t="str">
        <f t="shared" si="223"/>
        <v>무장</v>
      </c>
      <c r="H1094" t="str">
        <f t="shared" si="222"/>
        <v>스토리위즈</v>
      </c>
      <c r="I1094" t="str">
        <f t="shared" si="224"/>
        <v>갓 오브 블랙필드</v>
      </c>
      <c r="J1094">
        <v>100</v>
      </c>
      <c r="K1094">
        <v>800</v>
      </c>
      <c r="L1094">
        <v>8</v>
      </c>
      <c r="M1094">
        <v>0</v>
      </c>
      <c r="N1094">
        <v>0</v>
      </c>
      <c r="O1094">
        <v>0</v>
      </c>
      <c r="P1094">
        <v>39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800</v>
      </c>
      <c r="AH1094">
        <v>47</v>
      </c>
      <c r="AI1094">
        <v>0</v>
      </c>
      <c r="AJ1094">
        <v>0</v>
      </c>
      <c r="AK1094">
        <v>800</v>
      </c>
      <c r="AL1094">
        <v>0</v>
      </c>
      <c r="AM1094">
        <v>0</v>
      </c>
      <c r="AN1094">
        <v>0</v>
      </c>
      <c r="AO1094">
        <v>0</v>
      </c>
      <c r="AP1094">
        <v>560</v>
      </c>
      <c r="AT1094" t="str">
        <f t="shared" si="225"/>
        <v>9791137602113</v>
      </c>
      <c r="AV1094" t="str">
        <f t="shared" si="226"/>
        <v>판타지 웹소설 &gt; 현대 판타지</v>
      </c>
    </row>
    <row r="1095" spans="1:48" x14ac:dyDescent="0.4">
      <c r="A1095">
        <v>2313011955</v>
      </c>
      <c r="B1095">
        <v>2313011993</v>
      </c>
      <c r="C1095" t="str">
        <f>T("갓 오브 블랙필드 39화")</f>
        <v>갓 오브 블랙필드 39화</v>
      </c>
      <c r="D1095" t="str">
        <f>T("39")</f>
        <v>39</v>
      </c>
      <c r="E1095" t="str">
        <f t="shared" si="223"/>
        <v>무장</v>
      </c>
      <c r="H1095" t="str">
        <f t="shared" si="222"/>
        <v>스토리위즈</v>
      </c>
      <c r="I1095" t="str">
        <f t="shared" si="224"/>
        <v>갓 오브 블랙필드</v>
      </c>
      <c r="J1095">
        <v>100</v>
      </c>
      <c r="K1095">
        <v>800</v>
      </c>
      <c r="L1095">
        <v>8</v>
      </c>
      <c r="M1095">
        <v>0</v>
      </c>
      <c r="N1095">
        <v>0</v>
      </c>
      <c r="O1095">
        <v>0</v>
      </c>
      <c r="P1095">
        <v>39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800</v>
      </c>
      <c r="AH1095">
        <v>47</v>
      </c>
      <c r="AI1095">
        <v>0</v>
      </c>
      <c r="AJ1095">
        <v>0</v>
      </c>
      <c r="AK1095">
        <v>800</v>
      </c>
      <c r="AL1095">
        <v>0</v>
      </c>
      <c r="AM1095">
        <v>0</v>
      </c>
      <c r="AN1095">
        <v>0</v>
      </c>
      <c r="AO1095">
        <v>0</v>
      </c>
      <c r="AP1095">
        <v>560</v>
      </c>
      <c r="AT1095" t="str">
        <f t="shared" si="225"/>
        <v>9791137602113</v>
      </c>
      <c r="AV1095" t="str">
        <f t="shared" si="226"/>
        <v>판타지 웹소설 &gt; 현대 판타지</v>
      </c>
    </row>
    <row r="1096" spans="1:48" x14ac:dyDescent="0.4">
      <c r="A1096">
        <v>2313011955</v>
      </c>
      <c r="B1096">
        <v>2313011994</v>
      </c>
      <c r="C1096" t="str">
        <f>T("갓 오브 블랙필드 40화")</f>
        <v>갓 오브 블랙필드 40화</v>
      </c>
      <c r="D1096" t="str">
        <f>T("40")</f>
        <v>40</v>
      </c>
      <c r="E1096" t="str">
        <f t="shared" si="223"/>
        <v>무장</v>
      </c>
      <c r="H1096" t="str">
        <f t="shared" si="222"/>
        <v>스토리위즈</v>
      </c>
      <c r="I1096" t="str">
        <f t="shared" si="224"/>
        <v>갓 오브 블랙필드</v>
      </c>
      <c r="J1096">
        <v>100</v>
      </c>
      <c r="K1096">
        <v>800</v>
      </c>
      <c r="L1096">
        <v>8</v>
      </c>
      <c r="M1096">
        <v>0</v>
      </c>
      <c r="N1096">
        <v>0</v>
      </c>
      <c r="O1096">
        <v>0</v>
      </c>
      <c r="P1096">
        <v>39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800</v>
      </c>
      <c r="AH1096">
        <v>47</v>
      </c>
      <c r="AI1096">
        <v>0</v>
      </c>
      <c r="AJ1096">
        <v>0</v>
      </c>
      <c r="AK1096">
        <v>800</v>
      </c>
      <c r="AL1096">
        <v>0</v>
      </c>
      <c r="AM1096">
        <v>0</v>
      </c>
      <c r="AN1096">
        <v>0</v>
      </c>
      <c r="AO1096">
        <v>0</v>
      </c>
      <c r="AP1096">
        <v>560</v>
      </c>
      <c r="AT1096" t="str">
        <f t="shared" si="225"/>
        <v>9791137602113</v>
      </c>
      <c r="AV1096" t="str">
        <f t="shared" si="226"/>
        <v>판타지 웹소설 &gt; 현대 판타지</v>
      </c>
    </row>
    <row r="1097" spans="1:48" x14ac:dyDescent="0.4">
      <c r="A1097">
        <v>2313011955</v>
      </c>
      <c r="B1097">
        <v>2313011995</v>
      </c>
      <c r="C1097" t="str">
        <f>T("갓 오브 블랙필드 41화")</f>
        <v>갓 오브 블랙필드 41화</v>
      </c>
      <c r="D1097" t="str">
        <f>T("41")</f>
        <v>41</v>
      </c>
      <c r="E1097" t="str">
        <f t="shared" si="223"/>
        <v>무장</v>
      </c>
      <c r="H1097" t="str">
        <f t="shared" si="222"/>
        <v>스토리위즈</v>
      </c>
      <c r="I1097" t="str">
        <f t="shared" si="224"/>
        <v>갓 오브 블랙필드</v>
      </c>
      <c r="J1097">
        <v>100</v>
      </c>
      <c r="K1097">
        <v>800</v>
      </c>
      <c r="L1097">
        <v>8</v>
      </c>
      <c r="M1097">
        <v>0</v>
      </c>
      <c r="N1097">
        <v>0</v>
      </c>
      <c r="O1097">
        <v>0</v>
      </c>
      <c r="P1097">
        <v>41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800</v>
      </c>
      <c r="AH1097">
        <v>49</v>
      </c>
      <c r="AI1097">
        <v>0</v>
      </c>
      <c r="AJ1097">
        <v>0</v>
      </c>
      <c r="AK1097">
        <v>800</v>
      </c>
      <c r="AL1097">
        <v>0</v>
      </c>
      <c r="AM1097">
        <v>0</v>
      </c>
      <c r="AN1097">
        <v>0</v>
      </c>
      <c r="AO1097">
        <v>0</v>
      </c>
      <c r="AP1097">
        <v>560</v>
      </c>
      <c r="AT1097" t="str">
        <f t="shared" si="225"/>
        <v>9791137602113</v>
      </c>
      <c r="AV1097" t="str">
        <f t="shared" si="226"/>
        <v>판타지 웹소설 &gt; 현대 판타지</v>
      </c>
    </row>
    <row r="1098" spans="1:48" x14ac:dyDescent="0.4">
      <c r="A1098">
        <v>2313011955</v>
      </c>
      <c r="B1098">
        <v>2313011996</v>
      </c>
      <c r="C1098" t="str">
        <f>T("갓 오브 블랙필드 42화")</f>
        <v>갓 오브 블랙필드 42화</v>
      </c>
      <c r="D1098" t="str">
        <f>T("42")</f>
        <v>42</v>
      </c>
      <c r="E1098" t="str">
        <f t="shared" si="223"/>
        <v>무장</v>
      </c>
      <c r="H1098" t="str">
        <f t="shared" si="222"/>
        <v>스토리위즈</v>
      </c>
      <c r="I1098" t="str">
        <f t="shared" si="224"/>
        <v>갓 오브 블랙필드</v>
      </c>
      <c r="J1098">
        <v>100</v>
      </c>
      <c r="K1098">
        <v>800</v>
      </c>
      <c r="L1098">
        <v>8</v>
      </c>
      <c r="M1098">
        <v>0</v>
      </c>
      <c r="N1098">
        <v>0</v>
      </c>
      <c r="O1098">
        <v>0</v>
      </c>
      <c r="P1098">
        <v>40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800</v>
      </c>
      <c r="AH1098">
        <v>48</v>
      </c>
      <c r="AI1098">
        <v>0</v>
      </c>
      <c r="AJ1098">
        <v>0</v>
      </c>
      <c r="AK1098">
        <v>800</v>
      </c>
      <c r="AL1098">
        <v>0</v>
      </c>
      <c r="AM1098">
        <v>0</v>
      </c>
      <c r="AN1098">
        <v>0</v>
      </c>
      <c r="AO1098">
        <v>0</v>
      </c>
      <c r="AP1098">
        <v>560</v>
      </c>
      <c r="AT1098" t="str">
        <f t="shared" si="225"/>
        <v>9791137602113</v>
      </c>
      <c r="AV1098" t="str">
        <f t="shared" si="226"/>
        <v>판타지 웹소설 &gt; 현대 판타지</v>
      </c>
    </row>
    <row r="1099" spans="1:48" x14ac:dyDescent="0.4">
      <c r="A1099">
        <v>2313011955</v>
      </c>
      <c r="B1099">
        <v>2313011997</v>
      </c>
      <c r="C1099" t="str">
        <f>T("갓 오브 블랙필드 43화")</f>
        <v>갓 오브 블랙필드 43화</v>
      </c>
      <c r="D1099" t="str">
        <f>T("43")</f>
        <v>43</v>
      </c>
      <c r="E1099" t="str">
        <f t="shared" si="223"/>
        <v>무장</v>
      </c>
      <c r="H1099" t="str">
        <f t="shared" si="222"/>
        <v>스토리위즈</v>
      </c>
      <c r="I1099" t="str">
        <f t="shared" si="224"/>
        <v>갓 오브 블랙필드</v>
      </c>
      <c r="J1099">
        <v>100</v>
      </c>
      <c r="K1099">
        <v>800</v>
      </c>
      <c r="L1099">
        <v>8</v>
      </c>
      <c r="M1099">
        <v>0</v>
      </c>
      <c r="N1099">
        <v>0</v>
      </c>
      <c r="O1099">
        <v>0</v>
      </c>
      <c r="P1099">
        <v>40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800</v>
      </c>
      <c r="AH1099">
        <v>48</v>
      </c>
      <c r="AI1099">
        <v>0</v>
      </c>
      <c r="AJ1099">
        <v>0</v>
      </c>
      <c r="AK1099">
        <v>800</v>
      </c>
      <c r="AL1099">
        <v>0</v>
      </c>
      <c r="AM1099">
        <v>0</v>
      </c>
      <c r="AN1099">
        <v>0</v>
      </c>
      <c r="AO1099">
        <v>0</v>
      </c>
      <c r="AP1099">
        <v>560</v>
      </c>
      <c r="AT1099" t="str">
        <f t="shared" si="225"/>
        <v>9791137602113</v>
      </c>
      <c r="AV1099" t="str">
        <f t="shared" si="226"/>
        <v>판타지 웹소설 &gt; 현대 판타지</v>
      </c>
    </row>
    <row r="1100" spans="1:48" x14ac:dyDescent="0.4">
      <c r="A1100">
        <v>2313011955</v>
      </c>
      <c r="B1100">
        <v>2313011998</v>
      </c>
      <c r="C1100" t="str">
        <f>T("갓 오브 블랙필드 44화")</f>
        <v>갓 오브 블랙필드 44화</v>
      </c>
      <c r="D1100" t="str">
        <f>T("44")</f>
        <v>44</v>
      </c>
      <c r="E1100" t="str">
        <f t="shared" si="223"/>
        <v>무장</v>
      </c>
      <c r="H1100" t="str">
        <f t="shared" si="222"/>
        <v>스토리위즈</v>
      </c>
      <c r="I1100" t="str">
        <f t="shared" si="224"/>
        <v>갓 오브 블랙필드</v>
      </c>
      <c r="J1100">
        <v>100</v>
      </c>
      <c r="K1100">
        <v>800</v>
      </c>
      <c r="L1100">
        <v>8</v>
      </c>
      <c r="M1100">
        <v>0</v>
      </c>
      <c r="N1100">
        <v>0</v>
      </c>
      <c r="O1100">
        <v>0</v>
      </c>
      <c r="P1100">
        <v>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800</v>
      </c>
      <c r="AH1100">
        <v>49</v>
      </c>
      <c r="AI1100">
        <v>0</v>
      </c>
      <c r="AJ1100">
        <v>0</v>
      </c>
      <c r="AK1100">
        <v>800</v>
      </c>
      <c r="AL1100">
        <v>0</v>
      </c>
      <c r="AM1100">
        <v>0</v>
      </c>
      <c r="AN1100">
        <v>0</v>
      </c>
      <c r="AO1100">
        <v>0</v>
      </c>
      <c r="AP1100">
        <v>560</v>
      </c>
      <c r="AT1100" t="str">
        <f t="shared" si="225"/>
        <v>9791137602113</v>
      </c>
      <c r="AV1100" t="str">
        <f t="shared" si="226"/>
        <v>판타지 웹소설 &gt; 현대 판타지</v>
      </c>
    </row>
    <row r="1101" spans="1:48" x14ac:dyDescent="0.4">
      <c r="A1101">
        <v>2313011955</v>
      </c>
      <c r="B1101">
        <v>2313011999</v>
      </c>
      <c r="C1101" t="str">
        <f>T("갓 오브 블랙필드 45화")</f>
        <v>갓 오브 블랙필드 45화</v>
      </c>
      <c r="D1101" t="str">
        <f>T("45")</f>
        <v>45</v>
      </c>
      <c r="E1101" t="str">
        <f t="shared" si="223"/>
        <v>무장</v>
      </c>
      <c r="H1101" t="str">
        <f t="shared" si="222"/>
        <v>스토리위즈</v>
      </c>
      <c r="I1101" t="str">
        <f t="shared" si="224"/>
        <v>갓 오브 블랙필드</v>
      </c>
      <c r="J1101">
        <v>100</v>
      </c>
      <c r="K1101">
        <v>800</v>
      </c>
      <c r="L1101">
        <v>8</v>
      </c>
      <c r="M1101">
        <v>0</v>
      </c>
      <c r="N1101">
        <v>0</v>
      </c>
      <c r="O1101">
        <v>0</v>
      </c>
      <c r="P1101">
        <v>40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800</v>
      </c>
      <c r="AH1101">
        <v>48</v>
      </c>
      <c r="AI1101">
        <v>0</v>
      </c>
      <c r="AJ1101">
        <v>0</v>
      </c>
      <c r="AK1101">
        <v>800</v>
      </c>
      <c r="AL1101">
        <v>0</v>
      </c>
      <c r="AM1101">
        <v>0</v>
      </c>
      <c r="AN1101">
        <v>0</v>
      </c>
      <c r="AO1101">
        <v>0</v>
      </c>
      <c r="AP1101">
        <v>560</v>
      </c>
      <c r="AT1101" t="str">
        <f t="shared" si="225"/>
        <v>9791137602113</v>
      </c>
      <c r="AV1101" t="str">
        <f t="shared" si="226"/>
        <v>판타지 웹소설 &gt; 현대 판타지</v>
      </c>
    </row>
    <row r="1102" spans="1:48" x14ac:dyDescent="0.4">
      <c r="A1102">
        <v>2313011955</v>
      </c>
      <c r="B1102">
        <v>2313012000</v>
      </c>
      <c r="C1102" t="str">
        <f>T("갓 오브 블랙필드 46화")</f>
        <v>갓 오브 블랙필드 46화</v>
      </c>
      <c r="D1102" t="str">
        <f>T("46")</f>
        <v>46</v>
      </c>
      <c r="E1102" t="str">
        <f t="shared" si="223"/>
        <v>무장</v>
      </c>
      <c r="H1102" t="str">
        <f t="shared" si="222"/>
        <v>스토리위즈</v>
      </c>
      <c r="I1102" t="str">
        <f t="shared" si="224"/>
        <v>갓 오브 블랙필드</v>
      </c>
      <c r="J1102">
        <v>100</v>
      </c>
      <c r="K1102">
        <v>800</v>
      </c>
      <c r="L1102">
        <v>8</v>
      </c>
      <c r="M1102">
        <v>0</v>
      </c>
      <c r="N1102">
        <v>0</v>
      </c>
      <c r="O1102">
        <v>0</v>
      </c>
      <c r="P1102">
        <v>40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800</v>
      </c>
      <c r="AH1102">
        <v>48</v>
      </c>
      <c r="AI1102">
        <v>0</v>
      </c>
      <c r="AJ1102">
        <v>0</v>
      </c>
      <c r="AK1102">
        <v>800</v>
      </c>
      <c r="AL1102">
        <v>0</v>
      </c>
      <c r="AM1102">
        <v>0</v>
      </c>
      <c r="AN1102">
        <v>0</v>
      </c>
      <c r="AO1102">
        <v>0</v>
      </c>
      <c r="AP1102">
        <v>560</v>
      </c>
      <c r="AT1102" t="str">
        <f t="shared" si="225"/>
        <v>9791137602113</v>
      </c>
      <c r="AV1102" t="str">
        <f t="shared" si="226"/>
        <v>판타지 웹소설 &gt; 현대 판타지</v>
      </c>
    </row>
    <row r="1103" spans="1:48" x14ac:dyDescent="0.4">
      <c r="A1103">
        <v>2313011955</v>
      </c>
      <c r="B1103">
        <v>2313012001</v>
      </c>
      <c r="C1103" t="str">
        <f>T("갓 오브 블랙필드 47화")</f>
        <v>갓 오브 블랙필드 47화</v>
      </c>
      <c r="D1103" t="str">
        <f>T("47")</f>
        <v>47</v>
      </c>
      <c r="E1103" t="str">
        <f t="shared" si="223"/>
        <v>무장</v>
      </c>
      <c r="H1103" t="str">
        <f t="shared" si="222"/>
        <v>스토리위즈</v>
      </c>
      <c r="I1103" t="str">
        <f t="shared" si="224"/>
        <v>갓 오브 블랙필드</v>
      </c>
      <c r="J1103">
        <v>100</v>
      </c>
      <c r="K1103">
        <v>800</v>
      </c>
      <c r="L1103">
        <v>8</v>
      </c>
      <c r="M1103">
        <v>0</v>
      </c>
      <c r="N1103">
        <v>0</v>
      </c>
      <c r="O1103">
        <v>0</v>
      </c>
      <c r="P1103">
        <v>39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800</v>
      </c>
      <c r="AH1103">
        <v>47</v>
      </c>
      <c r="AI1103">
        <v>0</v>
      </c>
      <c r="AJ1103">
        <v>0</v>
      </c>
      <c r="AK1103">
        <v>800</v>
      </c>
      <c r="AL1103">
        <v>0</v>
      </c>
      <c r="AM1103">
        <v>0</v>
      </c>
      <c r="AN1103">
        <v>0</v>
      </c>
      <c r="AO1103">
        <v>0</v>
      </c>
      <c r="AP1103">
        <v>560</v>
      </c>
      <c r="AT1103" t="str">
        <f t="shared" si="225"/>
        <v>9791137602113</v>
      </c>
      <c r="AV1103" t="str">
        <f t="shared" si="226"/>
        <v>판타지 웹소설 &gt; 현대 판타지</v>
      </c>
    </row>
    <row r="1104" spans="1:48" x14ac:dyDescent="0.4">
      <c r="A1104">
        <v>2313011955</v>
      </c>
      <c r="B1104">
        <v>2313012002</v>
      </c>
      <c r="C1104" t="str">
        <f>T("갓 오브 블랙필드 48화")</f>
        <v>갓 오브 블랙필드 48화</v>
      </c>
      <c r="D1104" t="str">
        <f>T("48")</f>
        <v>48</v>
      </c>
      <c r="E1104" t="str">
        <f t="shared" si="223"/>
        <v>무장</v>
      </c>
      <c r="H1104" t="str">
        <f t="shared" si="222"/>
        <v>스토리위즈</v>
      </c>
      <c r="I1104" t="str">
        <f t="shared" si="224"/>
        <v>갓 오브 블랙필드</v>
      </c>
      <c r="J1104">
        <v>100</v>
      </c>
      <c r="K1104">
        <v>800</v>
      </c>
      <c r="L1104">
        <v>8</v>
      </c>
      <c r="M1104">
        <v>0</v>
      </c>
      <c r="N1104">
        <v>0</v>
      </c>
      <c r="O1104">
        <v>0</v>
      </c>
      <c r="P1104">
        <v>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800</v>
      </c>
      <c r="AH1104">
        <v>46</v>
      </c>
      <c r="AI1104">
        <v>0</v>
      </c>
      <c r="AJ1104">
        <v>0</v>
      </c>
      <c r="AK1104">
        <v>800</v>
      </c>
      <c r="AL1104">
        <v>0</v>
      </c>
      <c r="AM1104">
        <v>0</v>
      </c>
      <c r="AN1104">
        <v>0</v>
      </c>
      <c r="AO1104">
        <v>0</v>
      </c>
      <c r="AP1104">
        <v>560</v>
      </c>
      <c r="AT1104" t="str">
        <f t="shared" si="225"/>
        <v>9791137602113</v>
      </c>
      <c r="AV1104" t="str">
        <f t="shared" si="226"/>
        <v>판타지 웹소설 &gt; 현대 판타지</v>
      </c>
    </row>
    <row r="1105" spans="1:48" x14ac:dyDescent="0.4">
      <c r="A1105">
        <v>2313011955</v>
      </c>
      <c r="B1105">
        <v>2313012003</v>
      </c>
      <c r="C1105" t="str">
        <f>T("갓 오브 블랙필드 49화")</f>
        <v>갓 오브 블랙필드 49화</v>
      </c>
      <c r="D1105" t="str">
        <f>T("49")</f>
        <v>49</v>
      </c>
      <c r="E1105" t="str">
        <f t="shared" si="223"/>
        <v>무장</v>
      </c>
      <c r="H1105" t="str">
        <f t="shared" si="222"/>
        <v>스토리위즈</v>
      </c>
      <c r="I1105" t="str">
        <f t="shared" si="224"/>
        <v>갓 오브 블랙필드</v>
      </c>
      <c r="J1105">
        <v>100</v>
      </c>
      <c r="K1105">
        <v>800</v>
      </c>
      <c r="L1105">
        <v>8</v>
      </c>
      <c r="M1105">
        <v>0</v>
      </c>
      <c r="N1105">
        <v>0</v>
      </c>
      <c r="O1105">
        <v>0</v>
      </c>
      <c r="P1105">
        <v>39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800</v>
      </c>
      <c r="AH1105">
        <v>47</v>
      </c>
      <c r="AI1105">
        <v>0</v>
      </c>
      <c r="AJ1105">
        <v>0</v>
      </c>
      <c r="AK1105">
        <v>800</v>
      </c>
      <c r="AL1105">
        <v>0</v>
      </c>
      <c r="AM1105">
        <v>0</v>
      </c>
      <c r="AN1105">
        <v>0</v>
      </c>
      <c r="AO1105">
        <v>0</v>
      </c>
      <c r="AP1105">
        <v>560</v>
      </c>
      <c r="AT1105" t="str">
        <f t="shared" si="225"/>
        <v>9791137602113</v>
      </c>
      <c r="AV1105" t="str">
        <f t="shared" si="226"/>
        <v>판타지 웹소설 &gt; 현대 판타지</v>
      </c>
    </row>
    <row r="1106" spans="1:48" x14ac:dyDescent="0.4">
      <c r="A1106">
        <v>2313011955</v>
      </c>
      <c r="B1106">
        <v>2313012004</v>
      </c>
      <c r="C1106" t="str">
        <f>T("갓 오브 블랙필드 50화")</f>
        <v>갓 오브 블랙필드 50화</v>
      </c>
      <c r="D1106" t="str">
        <f>T("50")</f>
        <v>50</v>
      </c>
      <c r="E1106" t="str">
        <f t="shared" si="223"/>
        <v>무장</v>
      </c>
      <c r="H1106" t="str">
        <f t="shared" si="222"/>
        <v>스토리위즈</v>
      </c>
      <c r="I1106" t="str">
        <f t="shared" si="224"/>
        <v>갓 오브 블랙필드</v>
      </c>
      <c r="J1106">
        <v>100</v>
      </c>
      <c r="K1106">
        <v>800</v>
      </c>
      <c r="L1106">
        <v>8</v>
      </c>
      <c r="M1106">
        <v>0</v>
      </c>
      <c r="N1106">
        <v>0</v>
      </c>
      <c r="O1106">
        <v>0</v>
      </c>
      <c r="P1106">
        <v>46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800</v>
      </c>
      <c r="AH1106">
        <v>54</v>
      </c>
      <c r="AI1106">
        <v>0</v>
      </c>
      <c r="AJ1106">
        <v>0</v>
      </c>
      <c r="AK1106">
        <v>800</v>
      </c>
      <c r="AL1106">
        <v>0</v>
      </c>
      <c r="AM1106">
        <v>0</v>
      </c>
      <c r="AN1106">
        <v>0</v>
      </c>
      <c r="AO1106">
        <v>0</v>
      </c>
      <c r="AP1106">
        <v>560</v>
      </c>
      <c r="AT1106" t="str">
        <f t="shared" si="225"/>
        <v>9791137602113</v>
      </c>
      <c r="AV1106" t="str">
        <f t="shared" si="226"/>
        <v>판타지 웹소설 &gt; 현대 판타지</v>
      </c>
    </row>
    <row r="1107" spans="1:48" x14ac:dyDescent="0.4">
      <c r="A1107">
        <v>2313011955</v>
      </c>
      <c r="B1107">
        <v>2313012005</v>
      </c>
      <c r="C1107" t="str">
        <f>T("갓 오브 블랙필드 51화")</f>
        <v>갓 오브 블랙필드 51화</v>
      </c>
      <c r="D1107" t="str">
        <f>T("51")</f>
        <v>51</v>
      </c>
      <c r="E1107" t="str">
        <f t="shared" si="223"/>
        <v>무장</v>
      </c>
      <c r="H1107" t="str">
        <f t="shared" si="222"/>
        <v>스토리위즈</v>
      </c>
      <c r="I1107" t="str">
        <f t="shared" si="224"/>
        <v>갓 오브 블랙필드</v>
      </c>
      <c r="J1107">
        <v>100</v>
      </c>
      <c r="K1107">
        <v>800</v>
      </c>
      <c r="L1107">
        <v>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800</v>
      </c>
      <c r="AH1107">
        <v>8</v>
      </c>
      <c r="AI1107">
        <v>0</v>
      </c>
      <c r="AJ1107">
        <v>0</v>
      </c>
      <c r="AK1107">
        <v>800</v>
      </c>
      <c r="AL1107">
        <v>0</v>
      </c>
      <c r="AM1107">
        <v>0</v>
      </c>
      <c r="AN1107">
        <v>0</v>
      </c>
      <c r="AO1107">
        <v>0</v>
      </c>
      <c r="AP1107">
        <v>560</v>
      </c>
      <c r="AT1107" t="str">
        <f t="shared" si="225"/>
        <v>9791137602113</v>
      </c>
      <c r="AV1107" t="str">
        <f t="shared" si="226"/>
        <v>판타지 웹소설 &gt; 현대 판타지</v>
      </c>
    </row>
    <row r="1108" spans="1:48" x14ac:dyDescent="0.4">
      <c r="A1108">
        <v>2313011955</v>
      </c>
      <c r="B1108">
        <v>2313012120</v>
      </c>
      <c r="C1108" t="str">
        <f>T("갓 오브 블랙필드 166화")</f>
        <v>갓 오브 블랙필드 166화</v>
      </c>
      <c r="D1108" t="str">
        <f>T("166")</f>
        <v>166</v>
      </c>
      <c r="E1108" t="str">
        <f t="shared" si="223"/>
        <v>무장</v>
      </c>
      <c r="H1108" t="str">
        <f t="shared" si="222"/>
        <v>스토리위즈</v>
      </c>
      <c r="I1108" t="str">
        <f t="shared" si="224"/>
        <v>갓 오브 블랙필드</v>
      </c>
      <c r="J1108">
        <v>100</v>
      </c>
      <c r="K1108">
        <v>800</v>
      </c>
      <c r="L1108">
        <v>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800</v>
      </c>
      <c r="AH1108">
        <v>8</v>
      </c>
      <c r="AI1108">
        <v>0</v>
      </c>
      <c r="AJ1108">
        <v>0</v>
      </c>
      <c r="AK1108">
        <v>800</v>
      </c>
      <c r="AL1108">
        <v>0</v>
      </c>
      <c r="AM1108">
        <v>0</v>
      </c>
      <c r="AN1108">
        <v>0</v>
      </c>
      <c r="AO1108">
        <v>0</v>
      </c>
      <c r="AP1108">
        <v>560</v>
      </c>
      <c r="AT1108" t="str">
        <f t="shared" si="225"/>
        <v>9791137602113</v>
      </c>
      <c r="AV1108" t="str">
        <f t="shared" si="226"/>
        <v>판타지 웹소설 &gt; 현대 판타지</v>
      </c>
    </row>
    <row r="1109" spans="1:48" x14ac:dyDescent="0.4">
      <c r="A1109">
        <v>2313011955</v>
      </c>
      <c r="B1109">
        <v>2313012129</v>
      </c>
      <c r="C1109" t="str">
        <f>T("갓 오브 블랙필드 175화")</f>
        <v>갓 오브 블랙필드 175화</v>
      </c>
      <c r="D1109" t="str">
        <f>T("175")</f>
        <v>175</v>
      </c>
      <c r="E1109" t="str">
        <f t="shared" si="223"/>
        <v>무장</v>
      </c>
      <c r="H1109" t="str">
        <f t="shared" si="222"/>
        <v>스토리위즈</v>
      </c>
      <c r="I1109" t="str">
        <f t="shared" si="224"/>
        <v>갓 오브 블랙필드</v>
      </c>
      <c r="J1109">
        <v>100</v>
      </c>
      <c r="K1109">
        <v>800</v>
      </c>
      <c r="L1109">
        <v>8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800</v>
      </c>
      <c r="AH1109">
        <v>8</v>
      </c>
      <c r="AI1109">
        <v>0</v>
      </c>
      <c r="AJ1109">
        <v>0</v>
      </c>
      <c r="AK1109">
        <v>800</v>
      </c>
      <c r="AL1109">
        <v>0</v>
      </c>
      <c r="AM1109">
        <v>0</v>
      </c>
      <c r="AN1109">
        <v>0</v>
      </c>
      <c r="AO1109">
        <v>0</v>
      </c>
      <c r="AP1109">
        <v>560</v>
      </c>
      <c r="AT1109" t="str">
        <f t="shared" si="225"/>
        <v>9791137602113</v>
      </c>
      <c r="AV1109" t="str">
        <f t="shared" si="226"/>
        <v>판타지 웹소설 &gt; 현대 판타지</v>
      </c>
    </row>
    <row r="1110" spans="1:48" x14ac:dyDescent="0.4">
      <c r="A1110">
        <v>2313011955</v>
      </c>
      <c r="B1110">
        <v>2313012130</v>
      </c>
      <c r="C1110" t="str">
        <f>T("갓 오브 블랙필드 176화")</f>
        <v>갓 오브 블랙필드 176화</v>
      </c>
      <c r="D1110" t="str">
        <f>T("176")</f>
        <v>176</v>
      </c>
      <c r="E1110" t="str">
        <f t="shared" si="223"/>
        <v>무장</v>
      </c>
      <c r="H1110" t="str">
        <f t="shared" si="222"/>
        <v>스토리위즈</v>
      </c>
      <c r="I1110" t="str">
        <f t="shared" si="224"/>
        <v>갓 오브 블랙필드</v>
      </c>
      <c r="J1110">
        <v>100</v>
      </c>
      <c r="K1110">
        <v>800</v>
      </c>
      <c r="L1110">
        <v>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800</v>
      </c>
      <c r="AH1110">
        <v>8</v>
      </c>
      <c r="AI1110">
        <v>0</v>
      </c>
      <c r="AJ1110">
        <v>0</v>
      </c>
      <c r="AK1110">
        <v>800</v>
      </c>
      <c r="AL1110">
        <v>0</v>
      </c>
      <c r="AM1110">
        <v>0</v>
      </c>
      <c r="AN1110">
        <v>0</v>
      </c>
      <c r="AO1110">
        <v>0</v>
      </c>
      <c r="AP1110">
        <v>560</v>
      </c>
      <c r="AT1110" t="str">
        <f t="shared" si="225"/>
        <v>9791137602113</v>
      </c>
      <c r="AV1110" t="str">
        <f t="shared" si="226"/>
        <v>판타지 웹소설 &gt; 현대 판타지</v>
      </c>
    </row>
    <row r="1111" spans="1:48" x14ac:dyDescent="0.4">
      <c r="A1111">
        <v>2313011955</v>
      </c>
      <c r="B1111">
        <v>2313012131</v>
      </c>
      <c r="C1111" t="str">
        <f>T("갓 오브 블랙필드 177화")</f>
        <v>갓 오브 블랙필드 177화</v>
      </c>
      <c r="D1111" t="str">
        <f>T("177")</f>
        <v>177</v>
      </c>
      <c r="E1111" t="str">
        <f t="shared" si="223"/>
        <v>무장</v>
      </c>
      <c r="H1111" t="str">
        <f t="shared" si="222"/>
        <v>스토리위즈</v>
      </c>
      <c r="I1111" t="str">
        <f t="shared" si="224"/>
        <v>갓 오브 블랙필드</v>
      </c>
      <c r="J1111">
        <v>100</v>
      </c>
      <c r="K1111">
        <v>800</v>
      </c>
      <c r="L1111">
        <v>8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800</v>
      </c>
      <c r="AH1111">
        <v>8</v>
      </c>
      <c r="AI1111">
        <v>0</v>
      </c>
      <c r="AJ1111">
        <v>0</v>
      </c>
      <c r="AK1111">
        <v>800</v>
      </c>
      <c r="AL1111">
        <v>0</v>
      </c>
      <c r="AM1111">
        <v>0</v>
      </c>
      <c r="AN1111">
        <v>0</v>
      </c>
      <c r="AO1111">
        <v>0</v>
      </c>
      <c r="AP1111">
        <v>560</v>
      </c>
      <c r="AT1111" t="str">
        <f t="shared" si="225"/>
        <v>9791137602113</v>
      </c>
      <c r="AV1111" t="str">
        <f t="shared" si="226"/>
        <v>판타지 웹소설 &gt; 현대 판타지</v>
      </c>
    </row>
    <row r="1112" spans="1:48" x14ac:dyDescent="0.4">
      <c r="A1112">
        <v>2313011955</v>
      </c>
      <c r="B1112">
        <v>2313012132</v>
      </c>
      <c r="C1112" t="str">
        <f>T("갓 오브 블랙필드 178화")</f>
        <v>갓 오브 블랙필드 178화</v>
      </c>
      <c r="D1112" t="str">
        <f>T("178")</f>
        <v>178</v>
      </c>
      <c r="E1112" t="str">
        <f t="shared" si="223"/>
        <v>무장</v>
      </c>
      <c r="H1112" t="str">
        <f t="shared" si="222"/>
        <v>스토리위즈</v>
      </c>
      <c r="I1112" t="str">
        <f t="shared" si="224"/>
        <v>갓 오브 블랙필드</v>
      </c>
      <c r="J1112">
        <v>100</v>
      </c>
      <c r="K1112">
        <v>800</v>
      </c>
      <c r="L1112">
        <v>8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800</v>
      </c>
      <c r="AH1112">
        <v>8</v>
      </c>
      <c r="AI1112">
        <v>0</v>
      </c>
      <c r="AJ1112">
        <v>0</v>
      </c>
      <c r="AK1112">
        <v>800</v>
      </c>
      <c r="AL1112">
        <v>0</v>
      </c>
      <c r="AM1112">
        <v>0</v>
      </c>
      <c r="AN1112">
        <v>0</v>
      </c>
      <c r="AO1112">
        <v>0</v>
      </c>
      <c r="AP1112">
        <v>560</v>
      </c>
      <c r="AT1112" t="str">
        <f t="shared" si="225"/>
        <v>9791137602113</v>
      </c>
      <c r="AV1112" t="str">
        <f t="shared" si="226"/>
        <v>판타지 웹소설 &gt; 현대 판타지</v>
      </c>
    </row>
    <row r="1113" spans="1:48" x14ac:dyDescent="0.4">
      <c r="A1113">
        <v>2313011955</v>
      </c>
      <c r="B1113">
        <v>2313012133</v>
      </c>
      <c r="C1113" t="str">
        <f>T("갓 오브 블랙필드 179화")</f>
        <v>갓 오브 블랙필드 179화</v>
      </c>
      <c r="D1113" t="str">
        <f>T("179")</f>
        <v>179</v>
      </c>
      <c r="E1113" t="str">
        <f t="shared" si="223"/>
        <v>무장</v>
      </c>
      <c r="H1113" t="str">
        <f t="shared" si="222"/>
        <v>스토리위즈</v>
      </c>
      <c r="I1113" t="str">
        <f t="shared" si="224"/>
        <v>갓 오브 블랙필드</v>
      </c>
      <c r="J1113">
        <v>100</v>
      </c>
      <c r="K1113">
        <v>800</v>
      </c>
      <c r="L1113">
        <v>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800</v>
      </c>
      <c r="AH1113">
        <v>8</v>
      </c>
      <c r="AI1113">
        <v>0</v>
      </c>
      <c r="AJ1113">
        <v>0</v>
      </c>
      <c r="AK1113">
        <v>800</v>
      </c>
      <c r="AL1113">
        <v>0</v>
      </c>
      <c r="AM1113">
        <v>0</v>
      </c>
      <c r="AN1113">
        <v>0</v>
      </c>
      <c r="AO1113">
        <v>0</v>
      </c>
      <c r="AP1113">
        <v>560</v>
      </c>
      <c r="AT1113" t="str">
        <f t="shared" si="225"/>
        <v>9791137602113</v>
      </c>
      <c r="AV1113" t="str">
        <f t="shared" si="226"/>
        <v>판타지 웹소설 &gt; 현대 판타지</v>
      </c>
    </row>
    <row r="1114" spans="1:48" x14ac:dyDescent="0.4">
      <c r="A1114">
        <v>2313011955</v>
      </c>
      <c r="B1114">
        <v>2313012134</v>
      </c>
      <c r="C1114" t="str">
        <f>T("갓 오브 블랙필드 180화")</f>
        <v>갓 오브 블랙필드 180화</v>
      </c>
      <c r="D1114" t="str">
        <f>T("180")</f>
        <v>180</v>
      </c>
      <c r="E1114" t="str">
        <f t="shared" si="223"/>
        <v>무장</v>
      </c>
      <c r="H1114" t="str">
        <f t="shared" si="222"/>
        <v>스토리위즈</v>
      </c>
      <c r="I1114" t="str">
        <f t="shared" si="224"/>
        <v>갓 오브 블랙필드</v>
      </c>
      <c r="J1114">
        <v>100</v>
      </c>
      <c r="K1114">
        <v>800</v>
      </c>
      <c r="L1114">
        <v>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800</v>
      </c>
      <c r="AH1114">
        <v>8</v>
      </c>
      <c r="AI1114">
        <v>0</v>
      </c>
      <c r="AJ1114">
        <v>0</v>
      </c>
      <c r="AK1114">
        <v>800</v>
      </c>
      <c r="AL1114">
        <v>0</v>
      </c>
      <c r="AM1114">
        <v>0</v>
      </c>
      <c r="AN1114">
        <v>0</v>
      </c>
      <c r="AO1114">
        <v>0</v>
      </c>
      <c r="AP1114">
        <v>560</v>
      </c>
      <c r="AT1114" t="str">
        <f t="shared" si="225"/>
        <v>9791137602113</v>
      </c>
      <c r="AV1114" t="str">
        <f t="shared" si="226"/>
        <v>판타지 웹소설 &gt; 현대 판타지</v>
      </c>
    </row>
    <row r="1115" spans="1:48" x14ac:dyDescent="0.4">
      <c r="A1115">
        <v>2313011955</v>
      </c>
      <c r="B1115">
        <v>2313012135</v>
      </c>
      <c r="C1115" t="str">
        <f>T("갓 오브 블랙필드 181화")</f>
        <v>갓 오브 블랙필드 181화</v>
      </c>
      <c r="D1115" t="str">
        <f>T("181")</f>
        <v>181</v>
      </c>
      <c r="E1115" t="str">
        <f t="shared" si="223"/>
        <v>무장</v>
      </c>
      <c r="H1115" t="str">
        <f t="shared" si="222"/>
        <v>스토리위즈</v>
      </c>
      <c r="I1115" t="str">
        <f t="shared" si="224"/>
        <v>갓 오브 블랙필드</v>
      </c>
      <c r="J1115">
        <v>100</v>
      </c>
      <c r="K1115">
        <v>800</v>
      </c>
      <c r="L1115">
        <v>8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800</v>
      </c>
      <c r="AH1115">
        <v>8</v>
      </c>
      <c r="AI1115">
        <v>0</v>
      </c>
      <c r="AJ1115">
        <v>0</v>
      </c>
      <c r="AK1115">
        <v>800</v>
      </c>
      <c r="AL1115">
        <v>0</v>
      </c>
      <c r="AM1115">
        <v>0</v>
      </c>
      <c r="AN1115">
        <v>0</v>
      </c>
      <c r="AO1115">
        <v>0</v>
      </c>
      <c r="AP1115">
        <v>560</v>
      </c>
      <c r="AT1115" t="str">
        <f t="shared" si="225"/>
        <v>9791137602113</v>
      </c>
      <c r="AV1115" t="str">
        <f t="shared" si="226"/>
        <v>판타지 웹소설 &gt; 현대 판타지</v>
      </c>
    </row>
    <row r="1116" spans="1:48" x14ac:dyDescent="0.4">
      <c r="A1116">
        <v>2313011955</v>
      </c>
      <c r="B1116">
        <v>2313012136</v>
      </c>
      <c r="C1116" t="str">
        <f>T("갓 오브 블랙필드 182화")</f>
        <v>갓 오브 블랙필드 182화</v>
      </c>
      <c r="D1116" t="str">
        <f>T("182")</f>
        <v>182</v>
      </c>
      <c r="E1116" t="str">
        <f t="shared" si="223"/>
        <v>무장</v>
      </c>
      <c r="H1116" t="str">
        <f t="shared" si="222"/>
        <v>스토리위즈</v>
      </c>
      <c r="I1116" t="str">
        <f t="shared" si="224"/>
        <v>갓 오브 블랙필드</v>
      </c>
      <c r="J1116">
        <v>100</v>
      </c>
      <c r="K1116">
        <v>800</v>
      </c>
      <c r="L1116">
        <v>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800</v>
      </c>
      <c r="AH1116">
        <v>8</v>
      </c>
      <c r="AI1116">
        <v>0</v>
      </c>
      <c r="AJ1116">
        <v>0</v>
      </c>
      <c r="AK1116">
        <v>800</v>
      </c>
      <c r="AL1116">
        <v>0</v>
      </c>
      <c r="AM1116">
        <v>0</v>
      </c>
      <c r="AN1116">
        <v>0</v>
      </c>
      <c r="AO1116">
        <v>0</v>
      </c>
      <c r="AP1116">
        <v>560</v>
      </c>
      <c r="AT1116" t="str">
        <f t="shared" si="225"/>
        <v>9791137602113</v>
      </c>
      <c r="AV1116" t="str">
        <f t="shared" si="226"/>
        <v>판타지 웹소설 &gt; 현대 판타지</v>
      </c>
    </row>
    <row r="1117" spans="1:48" x14ac:dyDescent="0.4">
      <c r="A1117">
        <v>2313011955</v>
      </c>
      <c r="B1117">
        <v>2313012137</v>
      </c>
      <c r="C1117" t="str">
        <f>T("갓 오브 블랙필드 183화")</f>
        <v>갓 오브 블랙필드 183화</v>
      </c>
      <c r="D1117" t="str">
        <f>T("183")</f>
        <v>183</v>
      </c>
      <c r="E1117" t="str">
        <f t="shared" si="223"/>
        <v>무장</v>
      </c>
      <c r="H1117" t="str">
        <f t="shared" si="222"/>
        <v>스토리위즈</v>
      </c>
      <c r="I1117" t="str">
        <f t="shared" si="224"/>
        <v>갓 오브 블랙필드</v>
      </c>
      <c r="J1117">
        <v>100</v>
      </c>
      <c r="K1117">
        <v>800</v>
      </c>
      <c r="L1117">
        <v>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800</v>
      </c>
      <c r="AH1117">
        <v>8</v>
      </c>
      <c r="AI1117">
        <v>0</v>
      </c>
      <c r="AJ1117">
        <v>0</v>
      </c>
      <c r="AK1117">
        <v>800</v>
      </c>
      <c r="AL1117">
        <v>0</v>
      </c>
      <c r="AM1117">
        <v>0</v>
      </c>
      <c r="AN1117">
        <v>0</v>
      </c>
      <c r="AO1117">
        <v>0</v>
      </c>
      <c r="AP1117">
        <v>560</v>
      </c>
      <c r="AT1117" t="str">
        <f t="shared" si="225"/>
        <v>9791137602113</v>
      </c>
      <c r="AV1117" t="str">
        <f t="shared" si="226"/>
        <v>판타지 웹소설 &gt; 현대 판타지</v>
      </c>
    </row>
    <row r="1118" spans="1:48" x14ac:dyDescent="0.4">
      <c r="A1118">
        <v>2313011955</v>
      </c>
      <c r="B1118">
        <v>2313012138</v>
      </c>
      <c r="C1118" t="str">
        <f>T("갓 오브 블랙필드 184화")</f>
        <v>갓 오브 블랙필드 184화</v>
      </c>
      <c r="D1118" t="str">
        <f>T("184")</f>
        <v>184</v>
      </c>
      <c r="E1118" t="str">
        <f t="shared" si="223"/>
        <v>무장</v>
      </c>
      <c r="H1118" t="str">
        <f t="shared" si="222"/>
        <v>스토리위즈</v>
      </c>
      <c r="I1118" t="str">
        <f t="shared" si="224"/>
        <v>갓 오브 블랙필드</v>
      </c>
      <c r="J1118">
        <v>100</v>
      </c>
      <c r="K1118">
        <v>800</v>
      </c>
      <c r="L1118">
        <v>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800</v>
      </c>
      <c r="AH1118">
        <v>8</v>
      </c>
      <c r="AI1118">
        <v>0</v>
      </c>
      <c r="AJ1118">
        <v>0</v>
      </c>
      <c r="AK1118">
        <v>800</v>
      </c>
      <c r="AL1118">
        <v>0</v>
      </c>
      <c r="AM1118">
        <v>0</v>
      </c>
      <c r="AN1118">
        <v>0</v>
      </c>
      <c r="AO1118">
        <v>0</v>
      </c>
      <c r="AP1118">
        <v>560</v>
      </c>
      <c r="AT1118" t="str">
        <f t="shared" si="225"/>
        <v>9791137602113</v>
      </c>
      <c r="AV1118" t="str">
        <f t="shared" si="226"/>
        <v>판타지 웹소설 &gt; 현대 판타지</v>
      </c>
    </row>
    <row r="1119" spans="1:48" x14ac:dyDescent="0.4">
      <c r="A1119">
        <v>2313011955</v>
      </c>
      <c r="B1119">
        <v>2313012139</v>
      </c>
      <c r="C1119" t="str">
        <f>T("갓 오브 블랙필드 185화")</f>
        <v>갓 오브 블랙필드 185화</v>
      </c>
      <c r="D1119" t="str">
        <f>T("185")</f>
        <v>185</v>
      </c>
      <c r="E1119" t="str">
        <f t="shared" si="223"/>
        <v>무장</v>
      </c>
      <c r="H1119" t="str">
        <f t="shared" si="222"/>
        <v>스토리위즈</v>
      </c>
      <c r="I1119" t="str">
        <f t="shared" si="224"/>
        <v>갓 오브 블랙필드</v>
      </c>
      <c r="J1119">
        <v>100</v>
      </c>
      <c r="K1119">
        <v>800</v>
      </c>
      <c r="L1119">
        <v>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800</v>
      </c>
      <c r="AH1119">
        <v>8</v>
      </c>
      <c r="AI1119">
        <v>0</v>
      </c>
      <c r="AJ1119">
        <v>0</v>
      </c>
      <c r="AK1119">
        <v>800</v>
      </c>
      <c r="AL1119">
        <v>0</v>
      </c>
      <c r="AM1119">
        <v>0</v>
      </c>
      <c r="AN1119">
        <v>0</v>
      </c>
      <c r="AO1119">
        <v>0</v>
      </c>
      <c r="AP1119">
        <v>560</v>
      </c>
      <c r="AT1119" t="str">
        <f t="shared" si="225"/>
        <v>9791137602113</v>
      </c>
      <c r="AV1119" t="str">
        <f t="shared" si="226"/>
        <v>판타지 웹소설 &gt; 현대 판타지</v>
      </c>
    </row>
    <row r="1120" spans="1:48" x14ac:dyDescent="0.4">
      <c r="A1120">
        <v>2313011955</v>
      </c>
      <c r="B1120">
        <v>2313012140</v>
      </c>
      <c r="C1120" t="str">
        <f>T("갓 오브 블랙필드 186화")</f>
        <v>갓 오브 블랙필드 186화</v>
      </c>
      <c r="D1120" t="str">
        <f>T("186")</f>
        <v>186</v>
      </c>
      <c r="E1120" t="str">
        <f t="shared" si="223"/>
        <v>무장</v>
      </c>
      <c r="H1120" t="str">
        <f t="shared" si="222"/>
        <v>스토리위즈</v>
      </c>
      <c r="I1120" t="str">
        <f t="shared" si="224"/>
        <v>갓 오브 블랙필드</v>
      </c>
      <c r="J1120">
        <v>100</v>
      </c>
      <c r="K1120">
        <v>800</v>
      </c>
      <c r="L1120">
        <v>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800</v>
      </c>
      <c r="AH1120">
        <v>8</v>
      </c>
      <c r="AI1120">
        <v>0</v>
      </c>
      <c r="AJ1120">
        <v>0</v>
      </c>
      <c r="AK1120">
        <v>800</v>
      </c>
      <c r="AL1120">
        <v>0</v>
      </c>
      <c r="AM1120">
        <v>0</v>
      </c>
      <c r="AN1120">
        <v>0</v>
      </c>
      <c r="AO1120">
        <v>0</v>
      </c>
      <c r="AP1120">
        <v>560</v>
      </c>
      <c r="AT1120" t="str">
        <f t="shared" si="225"/>
        <v>9791137602113</v>
      </c>
      <c r="AV1120" t="str">
        <f t="shared" si="226"/>
        <v>판타지 웹소설 &gt; 현대 판타지</v>
      </c>
    </row>
    <row r="1121" spans="1:48" x14ac:dyDescent="0.4">
      <c r="A1121">
        <v>2313011955</v>
      </c>
      <c r="B1121">
        <v>2313012141</v>
      </c>
      <c r="C1121" t="str">
        <f>T("갓 오브 블랙필드 187화")</f>
        <v>갓 오브 블랙필드 187화</v>
      </c>
      <c r="D1121" t="str">
        <f>T("187")</f>
        <v>187</v>
      </c>
      <c r="E1121" t="str">
        <f t="shared" si="223"/>
        <v>무장</v>
      </c>
      <c r="H1121" t="str">
        <f t="shared" si="222"/>
        <v>스토리위즈</v>
      </c>
      <c r="I1121" t="str">
        <f t="shared" si="224"/>
        <v>갓 오브 블랙필드</v>
      </c>
      <c r="J1121">
        <v>100</v>
      </c>
      <c r="K1121">
        <v>800</v>
      </c>
      <c r="L1121">
        <v>8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800</v>
      </c>
      <c r="AH1121">
        <v>8</v>
      </c>
      <c r="AI1121">
        <v>0</v>
      </c>
      <c r="AJ1121">
        <v>0</v>
      </c>
      <c r="AK1121">
        <v>800</v>
      </c>
      <c r="AL1121">
        <v>0</v>
      </c>
      <c r="AM1121">
        <v>0</v>
      </c>
      <c r="AN1121">
        <v>0</v>
      </c>
      <c r="AO1121">
        <v>0</v>
      </c>
      <c r="AP1121">
        <v>560</v>
      </c>
      <c r="AT1121" t="str">
        <f t="shared" si="225"/>
        <v>9791137602113</v>
      </c>
      <c r="AV1121" t="str">
        <f t="shared" si="226"/>
        <v>판타지 웹소설 &gt; 현대 판타지</v>
      </c>
    </row>
    <row r="1122" spans="1:48" x14ac:dyDescent="0.4">
      <c r="A1122">
        <v>2313011955</v>
      </c>
      <c r="B1122">
        <v>2313012142</v>
      </c>
      <c r="C1122" t="str">
        <f>T("갓 오브 블랙필드 188화")</f>
        <v>갓 오브 블랙필드 188화</v>
      </c>
      <c r="D1122" t="str">
        <f>T("188")</f>
        <v>188</v>
      </c>
      <c r="E1122" t="str">
        <f t="shared" si="223"/>
        <v>무장</v>
      </c>
      <c r="H1122" t="str">
        <f t="shared" si="222"/>
        <v>스토리위즈</v>
      </c>
      <c r="I1122" t="str">
        <f t="shared" si="224"/>
        <v>갓 오브 블랙필드</v>
      </c>
      <c r="J1122">
        <v>100</v>
      </c>
      <c r="K1122">
        <v>800</v>
      </c>
      <c r="L1122">
        <v>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800</v>
      </c>
      <c r="AH1122">
        <v>8</v>
      </c>
      <c r="AI1122">
        <v>0</v>
      </c>
      <c r="AJ1122">
        <v>0</v>
      </c>
      <c r="AK1122">
        <v>800</v>
      </c>
      <c r="AL1122">
        <v>0</v>
      </c>
      <c r="AM1122">
        <v>0</v>
      </c>
      <c r="AN1122">
        <v>0</v>
      </c>
      <c r="AO1122">
        <v>0</v>
      </c>
      <c r="AP1122">
        <v>560</v>
      </c>
      <c r="AT1122" t="str">
        <f t="shared" si="225"/>
        <v>9791137602113</v>
      </c>
      <c r="AV1122" t="str">
        <f t="shared" si="226"/>
        <v>판타지 웹소설 &gt; 현대 판타지</v>
      </c>
    </row>
    <row r="1123" spans="1:48" x14ac:dyDescent="0.4">
      <c r="A1123">
        <v>2313011955</v>
      </c>
      <c r="B1123">
        <v>2313012143</v>
      </c>
      <c r="C1123" t="str">
        <f>T("갓 오브 블랙필드 189화")</f>
        <v>갓 오브 블랙필드 189화</v>
      </c>
      <c r="D1123" t="str">
        <f>T("189")</f>
        <v>189</v>
      </c>
      <c r="E1123" t="str">
        <f t="shared" si="223"/>
        <v>무장</v>
      </c>
      <c r="H1123" t="str">
        <f t="shared" si="222"/>
        <v>스토리위즈</v>
      </c>
      <c r="I1123" t="str">
        <f t="shared" si="224"/>
        <v>갓 오브 블랙필드</v>
      </c>
      <c r="J1123">
        <v>100</v>
      </c>
      <c r="K1123">
        <v>800</v>
      </c>
      <c r="L1123">
        <v>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800</v>
      </c>
      <c r="AH1123">
        <v>8</v>
      </c>
      <c r="AI1123">
        <v>0</v>
      </c>
      <c r="AJ1123">
        <v>0</v>
      </c>
      <c r="AK1123">
        <v>800</v>
      </c>
      <c r="AL1123">
        <v>0</v>
      </c>
      <c r="AM1123">
        <v>0</v>
      </c>
      <c r="AN1123">
        <v>0</v>
      </c>
      <c r="AO1123">
        <v>0</v>
      </c>
      <c r="AP1123">
        <v>560</v>
      </c>
      <c r="AT1123" t="str">
        <f t="shared" si="225"/>
        <v>9791137602113</v>
      </c>
      <c r="AV1123" t="str">
        <f t="shared" si="226"/>
        <v>판타지 웹소설 &gt; 현대 판타지</v>
      </c>
    </row>
    <row r="1124" spans="1:48" x14ac:dyDescent="0.4">
      <c r="A1124">
        <v>2313011955</v>
      </c>
      <c r="B1124">
        <v>2313012144</v>
      </c>
      <c r="C1124" t="str">
        <f>T("갓 오브 블랙필드 190화")</f>
        <v>갓 오브 블랙필드 190화</v>
      </c>
      <c r="D1124" t="str">
        <f>T("190")</f>
        <v>190</v>
      </c>
      <c r="E1124" t="str">
        <f t="shared" si="223"/>
        <v>무장</v>
      </c>
      <c r="H1124" t="str">
        <f t="shared" si="222"/>
        <v>스토리위즈</v>
      </c>
      <c r="I1124" t="str">
        <f t="shared" si="224"/>
        <v>갓 오브 블랙필드</v>
      </c>
      <c r="J1124">
        <v>100</v>
      </c>
      <c r="K1124">
        <v>800</v>
      </c>
      <c r="L1124">
        <v>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800</v>
      </c>
      <c r="AH1124">
        <v>8</v>
      </c>
      <c r="AI1124">
        <v>0</v>
      </c>
      <c r="AJ1124">
        <v>0</v>
      </c>
      <c r="AK1124">
        <v>800</v>
      </c>
      <c r="AL1124">
        <v>0</v>
      </c>
      <c r="AM1124">
        <v>0</v>
      </c>
      <c r="AN1124">
        <v>0</v>
      </c>
      <c r="AO1124">
        <v>0</v>
      </c>
      <c r="AP1124">
        <v>560</v>
      </c>
      <c r="AT1124" t="str">
        <f t="shared" si="225"/>
        <v>9791137602113</v>
      </c>
      <c r="AV1124" t="str">
        <f t="shared" si="226"/>
        <v>판타지 웹소설 &gt; 현대 판타지</v>
      </c>
    </row>
    <row r="1125" spans="1:48" x14ac:dyDescent="0.4">
      <c r="A1125">
        <v>2313011955</v>
      </c>
      <c r="B1125">
        <v>2313012148</v>
      </c>
      <c r="C1125" t="str">
        <f>T("갓 오브 블랙필드 194화")</f>
        <v>갓 오브 블랙필드 194화</v>
      </c>
      <c r="D1125" t="str">
        <f>T("194")</f>
        <v>194</v>
      </c>
      <c r="E1125" t="str">
        <f t="shared" si="223"/>
        <v>무장</v>
      </c>
      <c r="H1125" t="str">
        <f t="shared" si="222"/>
        <v>스토리위즈</v>
      </c>
      <c r="I1125" t="str">
        <f t="shared" si="224"/>
        <v>갓 오브 블랙필드</v>
      </c>
      <c r="J1125">
        <v>100</v>
      </c>
      <c r="K1125">
        <v>800</v>
      </c>
      <c r="L1125">
        <v>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800</v>
      </c>
      <c r="AH1125">
        <v>8</v>
      </c>
      <c r="AI1125">
        <v>0</v>
      </c>
      <c r="AJ1125">
        <v>0</v>
      </c>
      <c r="AK1125">
        <v>800</v>
      </c>
      <c r="AL1125">
        <v>0</v>
      </c>
      <c r="AM1125">
        <v>0</v>
      </c>
      <c r="AN1125">
        <v>0</v>
      </c>
      <c r="AO1125">
        <v>0</v>
      </c>
      <c r="AP1125">
        <v>560</v>
      </c>
      <c r="AT1125" t="str">
        <f t="shared" si="225"/>
        <v>9791137602113</v>
      </c>
      <c r="AV1125" t="str">
        <f t="shared" si="226"/>
        <v>판타지 웹소설 &gt; 현대 판타지</v>
      </c>
    </row>
    <row r="1126" spans="1:48" x14ac:dyDescent="0.4">
      <c r="A1126">
        <v>2313011955</v>
      </c>
      <c r="B1126">
        <v>2313012149</v>
      </c>
      <c r="C1126" t="str">
        <f>T("갓 오브 블랙필드 195화")</f>
        <v>갓 오브 블랙필드 195화</v>
      </c>
      <c r="D1126" t="str">
        <f>T("195")</f>
        <v>195</v>
      </c>
      <c r="E1126" t="str">
        <f t="shared" si="223"/>
        <v>무장</v>
      </c>
      <c r="H1126" t="str">
        <f t="shared" si="222"/>
        <v>스토리위즈</v>
      </c>
      <c r="I1126" t="str">
        <f t="shared" si="224"/>
        <v>갓 오브 블랙필드</v>
      </c>
      <c r="J1126">
        <v>100</v>
      </c>
      <c r="K1126">
        <v>800</v>
      </c>
      <c r="L1126">
        <v>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800</v>
      </c>
      <c r="AH1126">
        <v>8</v>
      </c>
      <c r="AI1126">
        <v>0</v>
      </c>
      <c r="AJ1126">
        <v>0</v>
      </c>
      <c r="AK1126">
        <v>800</v>
      </c>
      <c r="AL1126">
        <v>0</v>
      </c>
      <c r="AM1126">
        <v>0</v>
      </c>
      <c r="AN1126">
        <v>0</v>
      </c>
      <c r="AO1126">
        <v>0</v>
      </c>
      <c r="AP1126">
        <v>560</v>
      </c>
      <c r="AT1126" t="str">
        <f t="shared" si="225"/>
        <v>9791137602113</v>
      </c>
      <c r="AV1126" t="str">
        <f t="shared" si="226"/>
        <v>판타지 웹소설 &gt; 현대 판타지</v>
      </c>
    </row>
    <row r="1127" spans="1:48" x14ac:dyDescent="0.4">
      <c r="A1127">
        <v>2313011955</v>
      </c>
      <c r="B1127">
        <v>2313012150</v>
      </c>
      <c r="C1127" t="str">
        <f>T("갓 오브 블랙필드 196화")</f>
        <v>갓 오브 블랙필드 196화</v>
      </c>
      <c r="D1127" t="str">
        <f>T("196")</f>
        <v>196</v>
      </c>
      <c r="E1127" t="str">
        <f t="shared" si="223"/>
        <v>무장</v>
      </c>
      <c r="H1127" t="str">
        <f t="shared" si="222"/>
        <v>스토리위즈</v>
      </c>
      <c r="I1127" t="str">
        <f t="shared" si="224"/>
        <v>갓 오브 블랙필드</v>
      </c>
      <c r="J1127">
        <v>100</v>
      </c>
      <c r="K1127">
        <v>800</v>
      </c>
      <c r="L1127">
        <v>8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800</v>
      </c>
      <c r="AH1127">
        <v>8</v>
      </c>
      <c r="AI1127">
        <v>0</v>
      </c>
      <c r="AJ1127">
        <v>0</v>
      </c>
      <c r="AK1127">
        <v>800</v>
      </c>
      <c r="AL1127">
        <v>0</v>
      </c>
      <c r="AM1127">
        <v>0</v>
      </c>
      <c r="AN1127">
        <v>0</v>
      </c>
      <c r="AO1127">
        <v>0</v>
      </c>
      <c r="AP1127">
        <v>560</v>
      </c>
      <c r="AT1127" t="str">
        <f t="shared" si="225"/>
        <v>9791137602113</v>
      </c>
      <c r="AV1127" t="str">
        <f t="shared" si="226"/>
        <v>판타지 웹소설 &gt; 현대 판타지</v>
      </c>
    </row>
    <row r="1128" spans="1:48" x14ac:dyDescent="0.4">
      <c r="A1128">
        <v>2313011955</v>
      </c>
      <c r="B1128">
        <v>2313012151</v>
      </c>
      <c r="C1128" t="str">
        <f>T("갓 오브 블랙필드 197화")</f>
        <v>갓 오브 블랙필드 197화</v>
      </c>
      <c r="D1128" t="str">
        <f>T("197")</f>
        <v>197</v>
      </c>
      <c r="E1128" t="str">
        <f t="shared" si="223"/>
        <v>무장</v>
      </c>
      <c r="H1128" t="str">
        <f t="shared" si="222"/>
        <v>스토리위즈</v>
      </c>
      <c r="I1128" t="str">
        <f t="shared" si="224"/>
        <v>갓 오브 블랙필드</v>
      </c>
      <c r="J1128">
        <v>100</v>
      </c>
      <c r="K1128">
        <v>800</v>
      </c>
      <c r="L1128">
        <v>8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800</v>
      </c>
      <c r="AH1128">
        <v>8</v>
      </c>
      <c r="AI1128">
        <v>0</v>
      </c>
      <c r="AJ1128">
        <v>0</v>
      </c>
      <c r="AK1128">
        <v>800</v>
      </c>
      <c r="AL1128">
        <v>0</v>
      </c>
      <c r="AM1128">
        <v>0</v>
      </c>
      <c r="AN1128">
        <v>0</v>
      </c>
      <c r="AO1128">
        <v>0</v>
      </c>
      <c r="AP1128">
        <v>560</v>
      </c>
      <c r="AT1128" t="str">
        <f t="shared" si="225"/>
        <v>9791137602113</v>
      </c>
      <c r="AV1128" t="str">
        <f t="shared" si="226"/>
        <v>판타지 웹소설 &gt; 현대 판타지</v>
      </c>
    </row>
    <row r="1129" spans="1:48" x14ac:dyDescent="0.4">
      <c r="A1129">
        <v>2313011955</v>
      </c>
      <c r="B1129">
        <v>2313012152</v>
      </c>
      <c r="C1129" t="str">
        <f>T("갓 오브 블랙필드 198화")</f>
        <v>갓 오브 블랙필드 198화</v>
      </c>
      <c r="D1129" t="str">
        <f>T("198")</f>
        <v>198</v>
      </c>
      <c r="E1129" t="str">
        <f t="shared" si="223"/>
        <v>무장</v>
      </c>
      <c r="H1129" t="str">
        <f t="shared" si="222"/>
        <v>스토리위즈</v>
      </c>
      <c r="I1129" t="str">
        <f t="shared" si="224"/>
        <v>갓 오브 블랙필드</v>
      </c>
      <c r="J1129">
        <v>100</v>
      </c>
      <c r="K1129">
        <v>800</v>
      </c>
      <c r="L1129">
        <v>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800</v>
      </c>
      <c r="AH1129">
        <v>8</v>
      </c>
      <c r="AI1129">
        <v>0</v>
      </c>
      <c r="AJ1129">
        <v>0</v>
      </c>
      <c r="AK1129">
        <v>800</v>
      </c>
      <c r="AL1129">
        <v>0</v>
      </c>
      <c r="AM1129">
        <v>0</v>
      </c>
      <c r="AN1129">
        <v>0</v>
      </c>
      <c r="AO1129">
        <v>0</v>
      </c>
      <c r="AP1129">
        <v>560</v>
      </c>
      <c r="AT1129" t="str">
        <f t="shared" si="225"/>
        <v>9791137602113</v>
      </c>
      <c r="AV1129" t="str">
        <f t="shared" si="226"/>
        <v>판타지 웹소설 &gt; 현대 판타지</v>
      </c>
    </row>
    <row r="1130" spans="1:48" x14ac:dyDescent="0.4">
      <c r="A1130">
        <v>2313011955</v>
      </c>
      <c r="B1130">
        <v>2313012153</v>
      </c>
      <c r="C1130" t="str">
        <f>T("갓 오브 블랙필드 199화")</f>
        <v>갓 오브 블랙필드 199화</v>
      </c>
      <c r="D1130" t="str">
        <f>T("199")</f>
        <v>199</v>
      </c>
      <c r="E1130" t="str">
        <f t="shared" si="223"/>
        <v>무장</v>
      </c>
      <c r="H1130" t="str">
        <f t="shared" si="222"/>
        <v>스토리위즈</v>
      </c>
      <c r="I1130" t="str">
        <f t="shared" si="224"/>
        <v>갓 오브 블랙필드</v>
      </c>
      <c r="J1130">
        <v>100</v>
      </c>
      <c r="K1130">
        <v>800</v>
      </c>
      <c r="L1130">
        <v>8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800</v>
      </c>
      <c r="AH1130">
        <v>8</v>
      </c>
      <c r="AI1130">
        <v>0</v>
      </c>
      <c r="AJ1130">
        <v>0</v>
      </c>
      <c r="AK1130">
        <v>800</v>
      </c>
      <c r="AL1130">
        <v>0</v>
      </c>
      <c r="AM1130">
        <v>0</v>
      </c>
      <c r="AN1130">
        <v>0</v>
      </c>
      <c r="AO1130">
        <v>0</v>
      </c>
      <c r="AP1130">
        <v>560</v>
      </c>
      <c r="AT1130" t="str">
        <f t="shared" si="225"/>
        <v>9791137602113</v>
      </c>
      <c r="AV1130" t="str">
        <f t="shared" si="226"/>
        <v>판타지 웹소설 &gt; 현대 판타지</v>
      </c>
    </row>
    <row r="1131" spans="1:48" x14ac:dyDescent="0.4">
      <c r="A1131">
        <v>2313011955</v>
      </c>
      <c r="B1131">
        <v>2313012154</v>
      </c>
      <c r="C1131" t="str">
        <f>T("갓 오브 블랙필드 200화")</f>
        <v>갓 오브 블랙필드 200화</v>
      </c>
      <c r="D1131" t="str">
        <f>T("200")</f>
        <v>200</v>
      </c>
      <c r="E1131" t="str">
        <f t="shared" si="223"/>
        <v>무장</v>
      </c>
      <c r="H1131" t="str">
        <f t="shared" si="222"/>
        <v>스토리위즈</v>
      </c>
      <c r="I1131" t="str">
        <f t="shared" si="224"/>
        <v>갓 오브 블랙필드</v>
      </c>
      <c r="J1131">
        <v>100</v>
      </c>
      <c r="K1131">
        <v>800</v>
      </c>
      <c r="L1131">
        <v>8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800</v>
      </c>
      <c r="AH1131">
        <v>8</v>
      </c>
      <c r="AI1131">
        <v>0</v>
      </c>
      <c r="AJ1131">
        <v>0</v>
      </c>
      <c r="AK1131">
        <v>800</v>
      </c>
      <c r="AL1131">
        <v>0</v>
      </c>
      <c r="AM1131">
        <v>0</v>
      </c>
      <c r="AN1131">
        <v>0</v>
      </c>
      <c r="AO1131">
        <v>0</v>
      </c>
      <c r="AP1131">
        <v>560</v>
      </c>
      <c r="AT1131" t="str">
        <f t="shared" si="225"/>
        <v>9791137602113</v>
      </c>
      <c r="AV1131" t="str">
        <f t="shared" si="226"/>
        <v>판타지 웹소설 &gt; 현대 판타지</v>
      </c>
    </row>
    <row r="1132" spans="1:48" x14ac:dyDescent="0.4">
      <c r="A1132">
        <v>2313011955</v>
      </c>
      <c r="B1132">
        <v>2313012157</v>
      </c>
      <c r="C1132" t="str">
        <f>T("갓 오브 블랙필드 203화")</f>
        <v>갓 오브 블랙필드 203화</v>
      </c>
      <c r="D1132" t="str">
        <f>T("203")</f>
        <v>203</v>
      </c>
      <c r="E1132" t="str">
        <f t="shared" si="223"/>
        <v>무장</v>
      </c>
      <c r="H1132" t="str">
        <f t="shared" si="222"/>
        <v>스토리위즈</v>
      </c>
      <c r="I1132" t="str">
        <f t="shared" si="224"/>
        <v>갓 오브 블랙필드</v>
      </c>
      <c r="J1132">
        <v>100</v>
      </c>
      <c r="K1132">
        <v>800</v>
      </c>
      <c r="L1132">
        <v>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800</v>
      </c>
      <c r="AH1132">
        <v>8</v>
      </c>
      <c r="AI1132">
        <v>0</v>
      </c>
      <c r="AJ1132">
        <v>0</v>
      </c>
      <c r="AK1132">
        <v>700</v>
      </c>
      <c r="AL1132">
        <v>0</v>
      </c>
      <c r="AM1132">
        <v>120</v>
      </c>
      <c r="AN1132">
        <v>-36</v>
      </c>
      <c r="AO1132">
        <v>0</v>
      </c>
      <c r="AP1132">
        <v>548.79999999999995</v>
      </c>
      <c r="AT1132" t="str">
        <f t="shared" si="225"/>
        <v>9791137602113</v>
      </c>
      <c r="AV1132" t="str">
        <f t="shared" si="226"/>
        <v>판타지 웹소설 &gt; 현대 판타지</v>
      </c>
    </row>
    <row r="1133" spans="1:48" x14ac:dyDescent="0.4">
      <c r="A1133">
        <v>2313011955</v>
      </c>
      <c r="B1133">
        <v>2313012158</v>
      </c>
      <c r="C1133" t="str">
        <f>T("갓 오브 블랙필드 204화")</f>
        <v>갓 오브 블랙필드 204화</v>
      </c>
      <c r="D1133" t="str">
        <f>T("204")</f>
        <v>204</v>
      </c>
      <c r="E1133" t="str">
        <f t="shared" si="223"/>
        <v>무장</v>
      </c>
      <c r="H1133" t="str">
        <f t="shared" si="222"/>
        <v>스토리위즈</v>
      </c>
      <c r="I1133" t="str">
        <f t="shared" si="224"/>
        <v>갓 오브 블랙필드</v>
      </c>
      <c r="J1133">
        <v>100</v>
      </c>
      <c r="K1133">
        <v>800</v>
      </c>
      <c r="L1133">
        <v>8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800</v>
      </c>
      <c r="AH1133">
        <v>8</v>
      </c>
      <c r="AI1133">
        <v>0</v>
      </c>
      <c r="AJ1133">
        <v>0</v>
      </c>
      <c r="AK1133">
        <v>700</v>
      </c>
      <c r="AL1133">
        <v>0</v>
      </c>
      <c r="AM1133">
        <v>120</v>
      </c>
      <c r="AN1133">
        <v>-36</v>
      </c>
      <c r="AO1133">
        <v>0</v>
      </c>
      <c r="AP1133">
        <v>548.79999999999995</v>
      </c>
      <c r="AT1133" t="str">
        <f t="shared" si="225"/>
        <v>9791137602113</v>
      </c>
      <c r="AV1133" t="str">
        <f t="shared" si="226"/>
        <v>판타지 웹소설 &gt; 현대 판타지</v>
      </c>
    </row>
    <row r="1134" spans="1:48" x14ac:dyDescent="0.4">
      <c r="A1134">
        <v>2313011955</v>
      </c>
      <c r="B1134">
        <v>2313012159</v>
      </c>
      <c r="C1134" t="str">
        <f>T("갓 오브 블랙필드 205화")</f>
        <v>갓 오브 블랙필드 205화</v>
      </c>
      <c r="D1134" t="str">
        <f>T("205")</f>
        <v>205</v>
      </c>
      <c r="E1134" t="str">
        <f t="shared" si="223"/>
        <v>무장</v>
      </c>
      <c r="H1134" t="str">
        <f t="shared" si="222"/>
        <v>스토리위즈</v>
      </c>
      <c r="I1134" t="str">
        <f t="shared" si="224"/>
        <v>갓 오브 블랙필드</v>
      </c>
      <c r="J1134">
        <v>100</v>
      </c>
      <c r="K1134">
        <v>800</v>
      </c>
      <c r="L1134">
        <v>8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800</v>
      </c>
      <c r="AH1134">
        <v>8</v>
      </c>
      <c r="AI1134">
        <v>0</v>
      </c>
      <c r="AJ1134">
        <v>0</v>
      </c>
      <c r="AK1134">
        <v>700</v>
      </c>
      <c r="AL1134">
        <v>0</v>
      </c>
      <c r="AM1134">
        <v>120</v>
      </c>
      <c r="AN1134">
        <v>-36</v>
      </c>
      <c r="AO1134">
        <v>0</v>
      </c>
      <c r="AP1134">
        <v>548.79999999999995</v>
      </c>
      <c r="AT1134" t="str">
        <f t="shared" si="225"/>
        <v>9791137602113</v>
      </c>
      <c r="AV1134" t="str">
        <f t="shared" si="226"/>
        <v>판타지 웹소설 &gt; 현대 판타지</v>
      </c>
    </row>
    <row r="1135" spans="1:48" x14ac:dyDescent="0.4">
      <c r="A1135">
        <v>2313011955</v>
      </c>
      <c r="B1135">
        <v>2313012160</v>
      </c>
      <c r="C1135" t="str">
        <f>T("갓 오브 블랙필드 206화")</f>
        <v>갓 오브 블랙필드 206화</v>
      </c>
      <c r="D1135" t="str">
        <f>T("206")</f>
        <v>206</v>
      </c>
      <c r="E1135" t="str">
        <f t="shared" si="223"/>
        <v>무장</v>
      </c>
      <c r="H1135" t="str">
        <f t="shared" si="222"/>
        <v>스토리위즈</v>
      </c>
      <c r="I1135" t="str">
        <f t="shared" si="224"/>
        <v>갓 오브 블랙필드</v>
      </c>
      <c r="J1135">
        <v>100</v>
      </c>
      <c r="K1135">
        <v>800</v>
      </c>
      <c r="L1135">
        <v>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800</v>
      </c>
      <c r="AH1135">
        <v>8</v>
      </c>
      <c r="AI1135">
        <v>0</v>
      </c>
      <c r="AJ1135">
        <v>0</v>
      </c>
      <c r="AK1135">
        <v>700</v>
      </c>
      <c r="AL1135">
        <v>0</v>
      </c>
      <c r="AM1135">
        <v>120</v>
      </c>
      <c r="AN1135">
        <v>-36</v>
      </c>
      <c r="AO1135">
        <v>0</v>
      </c>
      <c r="AP1135">
        <v>548.79999999999995</v>
      </c>
      <c r="AT1135" t="str">
        <f t="shared" si="225"/>
        <v>9791137602113</v>
      </c>
      <c r="AV1135" t="str">
        <f t="shared" si="226"/>
        <v>판타지 웹소설 &gt; 현대 판타지</v>
      </c>
    </row>
    <row r="1136" spans="1:48" x14ac:dyDescent="0.4">
      <c r="A1136">
        <v>2313011955</v>
      </c>
      <c r="B1136">
        <v>2313012161</v>
      </c>
      <c r="C1136" t="str">
        <f>T("갓 오브 블랙필드 207화")</f>
        <v>갓 오브 블랙필드 207화</v>
      </c>
      <c r="D1136" t="str">
        <f>T("207")</f>
        <v>207</v>
      </c>
      <c r="E1136" t="str">
        <f t="shared" si="223"/>
        <v>무장</v>
      </c>
      <c r="H1136" t="str">
        <f t="shared" si="222"/>
        <v>스토리위즈</v>
      </c>
      <c r="I1136" t="str">
        <f t="shared" si="224"/>
        <v>갓 오브 블랙필드</v>
      </c>
      <c r="J1136">
        <v>100</v>
      </c>
      <c r="K1136">
        <v>800</v>
      </c>
      <c r="L1136">
        <v>8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800</v>
      </c>
      <c r="AH1136">
        <v>8</v>
      </c>
      <c r="AI1136">
        <v>0</v>
      </c>
      <c r="AJ1136">
        <v>0</v>
      </c>
      <c r="AK1136">
        <v>700</v>
      </c>
      <c r="AL1136">
        <v>0</v>
      </c>
      <c r="AM1136">
        <v>120</v>
      </c>
      <c r="AN1136">
        <v>-36</v>
      </c>
      <c r="AO1136">
        <v>0</v>
      </c>
      <c r="AP1136">
        <v>548.79999999999995</v>
      </c>
      <c r="AT1136" t="str">
        <f t="shared" si="225"/>
        <v>9791137602113</v>
      </c>
      <c r="AV1136" t="str">
        <f t="shared" si="226"/>
        <v>판타지 웹소설 &gt; 현대 판타지</v>
      </c>
    </row>
    <row r="1137" spans="1:48" x14ac:dyDescent="0.4">
      <c r="A1137">
        <v>2313011955</v>
      </c>
      <c r="B1137">
        <v>2313012163</v>
      </c>
      <c r="C1137" t="str">
        <f>T("갓 오브 블랙필드 209화")</f>
        <v>갓 오브 블랙필드 209화</v>
      </c>
      <c r="D1137" t="str">
        <f>T("209")</f>
        <v>209</v>
      </c>
      <c r="E1137" t="str">
        <f t="shared" si="223"/>
        <v>무장</v>
      </c>
      <c r="H1137" t="str">
        <f t="shared" si="222"/>
        <v>스토리위즈</v>
      </c>
      <c r="I1137" t="str">
        <f t="shared" si="224"/>
        <v>갓 오브 블랙필드</v>
      </c>
      <c r="J1137">
        <v>100</v>
      </c>
      <c r="K1137">
        <v>800</v>
      </c>
      <c r="L1137">
        <v>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800</v>
      </c>
      <c r="AH1137">
        <v>8</v>
      </c>
      <c r="AI1137">
        <v>0</v>
      </c>
      <c r="AJ1137">
        <v>0</v>
      </c>
      <c r="AK1137">
        <v>700</v>
      </c>
      <c r="AL1137">
        <v>0</v>
      </c>
      <c r="AM1137">
        <v>120</v>
      </c>
      <c r="AN1137">
        <v>-36</v>
      </c>
      <c r="AO1137">
        <v>0</v>
      </c>
      <c r="AP1137">
        <v>548.79999999999995</v>
      </c>
      <c r="AT1137" t="str">
        <f t="shared" si="225"/>
        <v>9791137602113</v>
      </c>
      <c r="AV1137" t="str">
        <f t="shared" si="226"/>
        <v>판타지 웹소설 &gt; 현대 판타지</v>
      </c>
    </row>
    <row r="1138" spans="1:48" x14ac:dyDescent="0.4">
      <c r="A1138">
        <v>2313011955</v>
      </c>
      <c r="B1138">
        <v>2313012164</v>
      </c>
      <c r="C1138" t="str">
        <f>T("갓 오브 블랙필드 210화")</f>
        <v>갓 오브 블랙필드 210화</v>
      </c>
      <c r="D1138" t="str">
        <f>T("210")</f>
        <v>210</v>
      </c>
      <c r="E1138" t="str">
        <f t="shared" si="223"/>
        <v>무장</v>
      </c>
      <c r="H1138" t="str">
        <f t="shared" si="222"/>
        <v>스토리위즈</v>
      </c>
      <c r="I1138" t="str">
        <f t="shared" si="224"/>
        <v>갓 오브 블랙필드</v>
      </c>
      <c r="J1138">
        <v>100</v>
      </c>
      <c r="K1138">
        <v>800</v>
      </c>
      <c r="L1138">
        <v>8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800</v>
      </c>
      <c r="AH1138">
        <v>8</v>
      </c>
      <c r="AI1138">
        <v>0</v>
      </c>
      <c r="AJ1138">
        <v>0</v>
      </c>
      <c r="AK1138">
        <v>700</v>
      </c>
      <c r="AL1138">
        <v>0</v>
      </c>
      <c r="AM1138">
        <v>120</v>
      </c>
      <c r="AN1138">
        <v>-36</v>
      </c>
      <c r="AO1138">
        <v>0</v>
      </c>
      <c r="AP1138">
        <v>548.79999999999995</v>
      </c>
      <c r="AT1138" t="str">
        <f t="shared" si="225"/>
        <v>9791137602113</v>
      </c>
      <c r="AV1138" t="str">
        <f t="shared" si="226"/>
        <v>판타지 웹소설 &gt; 현대 판타지</v>
      </c>
    </row>
    <row r="1139" spans="1:48" x14ac:dyDescent="0.4">
      <c r="A1139">
        <v>2313011955</v>
      </c>
      <c r="B1139">
        <v>2313012166</v>
      </c>
      <c r="C1139" t="str">
        <f>T("갓 오브 블랙필드 212화")</f>
        <v>갓 오브 블랙필드 212화</v>
      </c>
      <c r="D1139" t="str">
        <f>T("212")</f>
        <v>212</v>
      </c>
      <c r="E1139" t="str">
        <f t="shared" si="223"/>
        <v>무장</v>
      </c>
      <c r="H1139" t="str">
        <f t="shared" si="222"/>
        <v>스토리위즈</v>
      </c>
      <c r="I1139" t="str">
        <f t="shared" si="224"/>
        <v>갓 오브 블랙필드</v>
      </c>
      <c r="J1139">
        <v>100</v>
      </c>
      <c r="K1139">
        <v>800</v>
      </c>
      <c r="L1139">
        <v>8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800</v>
      </c>
      <c r="AH1139">
        <v>8</v>
      </c>
      <c r="AI1139">
        <v>0</v>
      </c>
      <c r="AJ1139">
        <v>0</v>
      </c>
      <c r="AK1139">
        <v>700</v>
      </c>
      <c r="AL1139">
        <v>0</v>
      </c>
      <c r="AM1139">
        <v>120</v>
      </c>
      <c r="AN1139">
        <v>-36</v>
      </c>
      <c r="AO1139">
        <v>0</v>
      </c>
      <c r="AP1139">
        <v>548.79999999999995</v>
      </c>
      <c r="AT1139" t="str">
        <f t="shared" si="225"/>
        <v>9791137602113</v>
      </c>
      <c r="AV1139" t="str">
        <f t="shared" si="226"/>
        <v>판타지 웹소설 &gt; 현대 판타지</v>
      </c>
    </row>
    <row r="1140" spans="1:48" x14ac:dyDescent="0.4">
      <c r="A1140">
        <v>2313011955</v>
      </c>
      <c r="B1140">
        <v>2313012167</v>
      </c>
      <c r="C1140" t="str">
        <f>T("갓 오브 블랙필드 213화")</f>
        <v>갓 오브 블랙필드 213화</v>
      </c>
      <c r="D1140" t="str">
        <f>T("213")</f>
        <v>213</v>
      </c>
      <c r="E1140" t="str">
        <f t="shared" si="223"/>
        <v>무장</v>
      </c>
      <c r="H1140" t="str">
        <f t="shared" si="222"/>
        <v>스토리위즈</v>
      </c>
      <c r="I1140" t="str">
        <f t="shared" si="224"/>
        <v>갓 오브 블랙필드</v>
      </c>
      <c r="J1140">
        <v>100</v>
      </c>
      <c r="K1140">
        <v>800</v>
      </c>
      <c r="L1140">
        <v>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800</v>
      </c>
      <c r="AH1140">
        <v>8</v>
      </c>
      <c r="AI1140">
        <v>0</v>
      </c>
      <c r="AJ1140">
        <v>0</v>
      </c>
      <c r="AK1140">
        <v>700</v>
      </c>
      <c r="AL1140">
        <v>0</v>
      </c>
      <c r="AM1140">
        <v>120</v>
      </c>
      <c r="AN1140">
        <v>-36</v>
      </c>
      <c r="AO1140">
        <v>0</v>
      </c>
      <c r="AP1140">
        <v>548.79999999999995</v>
      </c>
      <c r="AT1140" t="str">
        <f t="shared" si="225"/>
        <v>9791137602113</v>
      </c>
      <c r="AV1140" t="str">
        <f t="shared" si="226"/>
        <v>판타지 웹소설 &gt; 현대 판타지</v>
      </c>
    </row>
    <row r="1141" spans="1:48" x14ac:dyDescent="0.4">
      <c r="A1141">
        <v>2313011955</v>
      </c>
      <c r="B1141">
        <v>2313012168</v>
      </c>
      <c r="C1141" t="str">
        <f>T("갓 오브 블랙필드 214화")</f>
        <v>갓 오브 블랙필드 214화</v>
      </c>
      <c r="D1141" t="str">
        <f>T("214")</f>
        <v>214</v>
      </c>
      <c r="E1141" t="str">
        <f t="shared" si="223"/>
        <v>무장</v>
      </c>
      <c r="H1141" t="str">
        <f t="shared" si="222"/>
        <v>스토리위즈</v>
      </c>
      <c r="I1141" t="str">
        <f t="shared" si="224"/>
        <v>갓 오브 블랙필드</v>
      </c>
      <c r="J1141">
        <v>100</v>
      </c>
      <c r="K1141">
        <v>800</v>
      </c>
      <c r="L1141">
        <v>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800</v>
      </c>
      <c r="AH1141">
        <v>8</v>
      </c>
      <c r="AI1141">
        <v>0</v>
      </c>
      <c r="AJ1141">
        <v>0</v>
      </c>
      <c r="AK1141">
        <v>700</v>
      </c>
      <c r="AL1141">
        <v>0</v>
      </c>
      <c r="AM1141">
        <v>120</v>
      </c>
      <c r="AN1141">
        <v>-36</v>
      </c>
      <c r="AO1141">
        <v>0</v>
      </c>
      <c r="AP1141">
        <v>548.79999999999995</v>
      </c>
      <c r="AT1141" t="str">
        <f t="shared" si="225"/>
        <v>9791137602113</v>
      </c>
      <c r="AV1141" t="str">
        <f t="shared" si="226"/>
        <v>판타지 웹소설 &gt; 현대 판타지</v>
      </c>
    </row>
    <row r="1142" spans="1:48" x14ac:dyDescent="0.4">
      <c r="A1142">
        <v>2313011955</v>
      </c>
      <c r="B1142">
        <v>2313012169</v>
      </c>
      <c r="C1142" t="str">
        <f>T("갓 오브 블랙필드 215화")</f>
        <v>갓 오브 블랙필드 215화</v>
      </c>
      <c r="D1142" t="str">
        <f>T("215")</f>
        <v>215</v>
      </c>
      <c r="E1142" t="str">
        <f t="shared" si="223"/>
        <v>무장</v>
      </c>
      <c r="H1142" t="str">
        <f t="shared" si="222"/>
        <v>스토리위즈</v>
      </c>
      <c r="I1142" t="str">
        <f t="shared" si="224"/>
        <v>갓 오브 블랙필드</v>
      </c>
      <c r="J1142">
        <v>100</v>
      </c>
      <c r="K1142">
        <v>800</v>
      </c>
      <c r="L1142">
        <v>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800</v>
      </c>
      <c r="AH1142">
        <v>8</v>
      </c>
      <c r="AI1142">
        <v>0</v>
      </c>
      <c r="AJ1142">
        <v>0</v>
      </c>
      <c r="AK1142">
        <v>700</v>
      </c>
      <c r="AL1142">
        <v>0</v>
      </c>
      <c r="AM1142">
        <v>120</v>
      </c>
      <c r="AN1142">
        <v>-36</v>
      </c>
      <c r="AO1142">
        <v>0</v>
      </c>
      <c r="AP1142">
        <v>548.79999999999995</v>
      </c>
      <c r="AT1142" t="str">
        <f t="shared" si="225"/>
        <v>9791137602113</v>
      </c>
      <c r="AV1142" t="str">
        <f t="shared" si="226"/>
        <v>판타지 웹소설 &gt; 현대 판타지</v>
      </c>
    </row>
    <row r="1143" spans="1:48" x14ac:dyDescent="0.4">
      <c r="A1143">
        <v>2313011955</v>
      </c>
      <c r="B1143">
        <v>2313012170</v>
      </c>
      <c r="C1143" t="str">
        <f>T("갓 오브 블랙필드 216화")</f>
        <v>갓 오브 블랙필드 216화</v>
      </c>
      <c r="D1143" t="str">
        <f>T("216")</f>
        <v>216</v>
      </c>
      <c r="E1143" t="str">
        <f t="shared" si="223"/>
        <v>무장</v>
      </c>
      <c r="H1143" t="str">
        <f t="shared" si="222"/>
        <v>스토리위즈</v>
      </c>
      <c r="I1143" t="str">
        <f t="shared" si="224"/>
        <v>갓 오브 블랙필드</v>
      </c>
      <c r="J1143">
        <v>100</v>
      </c>
      <c r="K1143">
        <v>800</v>
      </c>
      <c r="L1143">
        <v>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800</v>
      </c>
      <c r="AH1143">
        <v>8</v>
      </c>
      <c r="AI1143">
        <v>0</v>
      </c>
      <c r="AJ1143">
        <v>0</v>
      </c>
      <c r="AK1143">
        <v>700</v>
      </c>
      <c r="AL1143">
        <v>0</v>
      </c>
      <c r="AM1143">
        <v>120</v>
      </c>
      <c r="AN1143">
        <v>-36</v>
      </c>
      <c r="AO1143">
        <v>0</v>
      </c>
      <c r="AP1143">
        <v>548.79999999999995</v>
      </c>
      <c r="AT1143" t="str">
        <f t="shared" si="225"/>
        <v>9791137602113</v>
      </c>
      <c r="AV1143" t="str">
        <f t="shared" si="226"/>
        <v>판타지 웹소설 &gt; 현대 판타지</v>
      </c>
    </row>
    <row r="1144" spans="1:48" x14ac:dyDescent="0.4">
      <c r="A1144">
        <v>2313011955</v>
      </c>
      <c r="B1144">
        <v>2313012171</v>
      </c>
      <c r="C1144" t="str">
        <f>T("갓 오브 블랙필드 217화")</f>
        <v>갓 오브 블랙필드 217화</v>
      </c>
      <c r="D1144" t="str">
        <f>T("217")</f>
        <v>217</v>
      </c>
      <c r="E1144" t="str">
        <f t="shared" si="223"/>
        <v>무장</v>
      </c>
      <c r="H1144" t="str">
        <f t="shared" si="222"/>
        <v>스토리위즈</v>
      </c>
      <c r="I1144" t="str">
        <f t="shared" si="224"/>
        <v>갓 오브 블랙필드</v>
      </c>
      <c r="J1144">
        <v>100</v>
      </c>
      <c r="K1144">
        <v>800</v>
      </c>
      <c r="L1144">
        <v>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800</v>
      </c>
      <c r="AH1144">
        <v>8</v>
      </c>
      <c r="AI1144">
        <v>0</v>
      </c>
      <c r="AJ1144">
        <v>0</v>
      </c>
      <c r="AK1144">
        <v>700</v>
      </c>
      <c r="AL1144">
        <v>0</v>
      </c>
      <c r="AM1144">
        <v>120</v>
      </c>
      <c r="AN1144">
        <v>-36</v>
      </c>
      <c r="AO1144">
        <v>0</v>
      </c>
      <c r="AP1144">
        <v>548.79999999999995</v>
      </c>
      <c r="AT1144" t="str">
        <f t="shared" si="225"/>
        <v>9791137602113</v>
      </c>
      <c r="AV1144" t="str">
        <f t="shared" si="226"/>
        <v>판타지 웹소설 &gt; 현대 판타지</v>
      </c>
    </row>
    <row r="1145" spans="1:48" x14ac:dyDescent="0.4">
      <c r="A1145">
        <v>2313011955</v>
      </c>
      <c r="B1145">
        <v>2313012172</v>
      </c>
      <c r="C1145" t="str">
        <f>T("갓 오브 블랙필드 218화")</f>
        <v>갓 오브 블랙필드 218화</v>
      </c>
      <c r="D1145" t="str">
        <f>T("218")</f>
        <v>218</v>
      </c>
      <c r="E1145" t="str">
        <f t="shared" si="223"/>
        <v>무장</v>
      </c>
      <c r="H1145" t="str">
        <f t="shared" si="222"/>
        <v>스토리위즈</v>
      </c>
      <c r="I1145" t="str">
        <f t="shared" si="224"/>
        <v>갓 오브 블랙필드</v>
      </c>
      <c r="J1145">
        <v>100</v>
      </c>
      <c r="K1145">
        <v>800</v>
      </c>
      <c r="L1145">
        <v>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800</v>
      </c>
      <c r="AH1145">
        <v>8</v>
      </c>
      <c r="AI1145">
        <v>0</v>
      </c>
      <c r="AJ1145">
        <v>0</v>
      </c>
      <c r="AK1145">
        <v>700</v>
      </c>
      <c r="AL1145">
        <v>0</v>
      </c>
      <c r="AM1145">
        <v>120</v>
      </c>
      <c r="AN1145">
        <v>-36</v>
      </c>
      <c r="AO1145">
        <v>0</v>
      </c>
      <c r="AP1145">
        <v>548.79999999999995</v>
      </c>
      <c r="AT1145" t="str">
        <f t="shared" si="225"/>
        <v>9791137602113</v>
      </c>
      <c r="AV1145" t="str">
        <f t="shared" si="226"/>
        <v>판타지 웹소설 &gt; 현대 판타지</v>
      </c>
    </row>
    <row r="1146" spans="1:48" x14ac:dyDescent="0.4">
      <c r="A1146">
        <v>2313012849</v>
      </c>
      <c r="B1146">
        <v>2313012949</v>
      </c>
      <c r="C1146" t="str">
        <f>T("디버프 마스터 101화")</f>
        <v>디버프 마스터 101화</v>
      </c>
      <c r="D1146" t="str">
        <f>T("101")</f>
        <v>101</v>
      </c>
      <c r="E1146" t="str">
        <f t="shared" ref="E1146:E1177" si="227">T("담화공")</f>
        <v>담화공</v>
      </c>
      <c r="H1146" t="str">
        <f t="shared" si="222"/>
        <v>스토리위즈</v>
      </c>
      <c r="I1146" t="str">
        <f t="shared" ref="I1146:I1177" si="228">T("디버프 마스터")</f>
        <v>디버프 마스터</v>
      </c>
      <c r="J1146">
        <v>100</v>
      </c>
      <c r="K1146">
        <v>800</v>
      </c>
      <c r="L1146">
        <v>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800</v>
      </c>
      <c r="AH1146">
        <v>8</v>
      </c>
      <c r="AI1146">
        <v>0</v>
      </c>
      <c r="AJ1146">
        <v>0</v>
      </c>
      <c r="AK1146">
        <v>700</v>
      </c>
      <c r="AL1146">
        <v>0</v>
      </c>
      <c r="AM1146">
        <v>119.05</v>
      </c>
      <c r="AN1146">
        <v>-35.72</v>
      </c>
      <c r="AO1146">
        <v>0</v>
      </c>
      <c r="AP1146">
        <v>548.33000000000004</v>
      </c>
      <c r="AT1146" t="str">
        <f t="shared" ref="AT1146:AT1177" si="229">T("9791137602663")</f>
        <v>9791137602663</v>
      </c>
      <c r="AV1146" t="str">
        <f t="shared" ref="AV1146:AV1178" si="230">T("판타지 웹소설 &gt; 퓨전 판타지")</f>
        <v>판타지 웹소설 &gt; 퓨전 판타지</v>
      </c>
    </row>
    <row r="1147" spans="1:48" x14ac:dyDescent="0.4">
      <c r="A1147">
        <v>2313012849</v>
      </c>
      <c r="B1147">
        <v>2313012967</v>
      </c>
      <c r="C1147" t="str">
        <f>T("디버프 마스터 119화")</f>
        <v>디버프 마스터 119화</v>
      </c>
      <c r="D1147" t="str">
        <f>T("119")</f>
        <v>119</v>
      </c>
      <c r="E1147" t="str">
        <f t="shared" si="227"/>
        <v>담화공</v>
      </c>
      <c r="H1147" t="str">
        <f t="shared" si="222"/>
        <v>스토리위즈</v>
      </c>
      <c r="I1147" t="str">
        <f t="shared" si="228"/>
        <v>디버프 마스터</v>
      </c>
      <c r="J1147">
        <v>100</v>
      </c>
      <c r="K1147">
        <v>800</v>
      </c>
      <c r="L1147">
        <v>8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800</v>
      </c>
      <c r="AH1147">
        <v>8</v>
      </c>
      <c r="AI1147">
        <v>0</v>
      </c>
      <c r="AJ1147">
        <v>0</v>
      </c>
      <c r="AK1147">
        <v>700</v>
      </c>
      <c r="AL1147">
        <v>0</v>
      </c>
      <c r="AM1147">
        <v>119.05</v>
      </c>
      <c r="AN1147">
        <v>-35.72</v>
      </c>
      <c r="AO1147">
        <v>0</v>
      </c>
      <c r="AP1147">
        <v>548.33000000000004</v>
      </c>
      <c r="AT1147" t="str">
        <f t="shared" si="229"/>
        <v>9791137602663</v>
      </c>
      <c r="AV1147" t="str">
        <f t="shared" si="230"/>
        <v>판타지 웹소설 &gt; 퓨전 판타지</v>
      </c>
    </row>
    <row r="1148" spans="1:48" x14ac:dyDescent="0.4">
      <c r="A1148">
        <v>2313012849</v>
      </c>
      <c r="B1148">
        <v>2313012969</v>
      </c>
      <c r="C1148" t="str">
        <f>T("디버프 마스터 121화")</f>
        <v>디버프 마스터 121화</v>
      </c>
      <c r="D1148" t="str">
        <f>T("121")</f>
        <v>121</v>
      </c>
      <c r="E1148" t="str">
        <f t="shared" si="227"/>
        <v>담화공</v>
      </c>
      <c r="H1148" t="str">
        <f t="shared" si="222"/>
        <v>스토리위즈</v>
      </c>
      <c r="I1148" t="str">
        <f t="shared" si="228"/>
        <v>디버프 마스터</v>
      </c>
      <c r="J1148">
        <v>100</v>
      </c>
      <c r="K1148">
        <v>800</v>
      </c>
      <c r="L1148">
        <v>8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800</v>
      </c>
      <c r="AH1148">
        <v>8</v>
      </c>
      <c r="AI1148">
        <v>0</v>
      </c>
      <c r="AJ1148">
        <v>0</v>
      </c>
      <c r="AK1148">
        <v>700</v>
      </c>
      <c r="AL1148">
        <v>0</v>
      </c>
      <c r="AM1148">
        <v>119.05</v>
      </c>
      <c r="AN1148">
        <v>-35.72</v>
      </c>
      <c r="AO1148">
        <v>0</v>
      </c>
      <c r="AP1148">
        <v>548.33000000000004</v>
      </c>
      <c r="AT1148" t="str">
        <f t="shared" si="229"/>
        <v>9791137602663</v>
      </c>
      <c r="AV1148" t="str">
        <f t="shared" si="230"/>
        <v>판타지 웹소설 &gt; 퓨전 판타지</v>
      </c>
    </row>
    <row r="1149" spans="1:48" x14ac:dyDescent="0.4">
      <c r="A1149">
        <v>2313012849</v>
      </c>
      <c r="B1149">
        <v>2313012975</v>
      </c>
      <c r="C1149" t="str">
        <f>T("디버프 마스터 127화")</f>
        <v>디버프 마스터 127화</v>
      </c>
      <c r="D1149" t="str">
        <f>T("127")</f>
        <v>127</v>
      </c>
      <c r="E1149" t="str">
        <f t="shared" si="227"/>
        <v>담화공</v>
      </c>
      <c r="H1149" t="str">
        <f t="shared" si="222"/>
        <v>스토리위즈</v>
      </c>
      <c r="I1149" t="str">
        <f t="shared" si="228"/>
        <v>디버프 마스터</v>
      </c>
      <c r="J1149">
        <v>100</v>
      </c>
      <c r="K1149">
        <v>800</v>
      </c>
      <c r="L1149">
        <v>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800</v>
      </c>
      <c r="AH1149">
        <v>8</v>
      </c>
      <c r="AI1149">
        <v>0</v>
      </c>
      <c r="AJ1149">
        <v>0</v>
      </c>
      <c r="AK1149">
        <v>700</v>
      </c>
      <c r="AL1149">
        <v>0</v>
      </c>
      <c r="AM1149">
        <v>119.05</v>
      </c>
      <c r="AN1149">
        <v>-35.72</v>
      </c>
      <c r="AO1149">
        <v>0</v>
      </c>
      <c r="AP1149">
        <v>548.33000000000004</v>
      </c>
      <c r="AT1149" t="str">
        <f t="shared" si="229"/>
        <v>9791137602663</v>
      </c>
      <c r="AV1149" t="str">
        <f t="shared" si="230"/>
        <v>판타지 웹소설 &gt; 퓨전 판타지</v>
      </c>
    </row>
    <row r="1150" spans="1:48" x14ac:dyDescent="0.4">
      <c r="A1150">
        <v>2313012849</v>
      </c>
      <c r="B1150">
        <v>2313012976</v>
      </c>
      <c r="C1150" t="str">
        <f>T("디버프 마스터 128화")</f>
        <v>디버프 마스터 128화</v>
      </c>
      <c r="D1150" t="str">
        <f>T("128")</f>
        <v>128</v>
      </c>
      <c r="E1150" t="str">
        <f t="shared" si="227"/>
        <v>담화공</v>
      </c>
      <c r="H1150" t="str">
        <f t="shared" si="222"/>
        <v>스토리위즈</v>
      </c>
      <c r="I1150" t="str">
        <f t="shared" si="228"/>
        <v>디버프 마스터</v>
      </c>
      <c r="J1150">
        <v>100</v>
      </c>
      <c r="K1150">
        <v>800</v>
      </c>
      <c r="L1150">
        <v>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800</v>
      </c>
      <c r="AH1150">
        <v>8</v>
      </c>
      <c r="AI1150">
        <v>0</v>
      </c>
      <c r="AJ1150">
        <v>0</v>
      </c>
      <c r="AK1150">
        <v>700</v>
      </c>
      <c r="AL1150">
        <v>0</v>
      </c>
      <c r="AM1150">
        <v>119.05</v>
      </c>
      <c r="AN1150">
        <v>-35.72</v>
      </c>
      <c r="AO1150">
        <v>0</v>
      </c>
      <c r="AP1150">
        <v>548.33000000000004</v>
      </c>
      <c r="AT1150" t="str">
        <f t="shared" si="229"/>
        <v>9791137602663</v>
      </c>
      <c r="AV1150" t="str">
        <f t="shared" si="230"/>
        <v>판타지 웹소설 &gt; 퓨전 판타지</v>
      </c>
    </row>
    <row r="1151" spans="1:48" x14ac:dyDescent="0.4">
      <c r="A1151">
        <v>2313012849</v>
      </c>
      <c r="B1151">
        <v>2313012977</v>
      </c>
      <c r="C1151" t="str">
        <f>T("디버프 마스터 129화")</f>
        <v>디버프 마스터 129화</v>
      </c>
      <c r="D1151" t="str">
        <f>T("129")</f>
        <v>129</v>
      </c>
      <c r="E1151" t="str">
        <f t="shared" si="227"/>
        <v>담화공</v>
      </c>
      <c r="H1151" t="str">
        <f t="shared" si="222"/>
        <v>스토리위즈</v>
      </c>
      <c r="I1151" t="str">
        <f t="shared" si="228"/>
        <v>디버프 마스터</v>
      </c>
      <c r="J1151">
        <v>100</v>
      </c>
      <c r="K1151">
        <v>800</v>
      </c>
      <c r="L1151">
        <v>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800</v>
      </c>
      <c r="AH1151">
        <v>8</v>
      </c>
      <c r="AI1151">
        <v>0</v>
      </c>
      <c r="AJ1151">
        <v>0</v>
      </c>
      <c r="AK1151">
        <v>700</v>
      </c>
      <c r="AL1151">
        <v>0</v>
      </c>
      <c r="AM1151">
        <v>119.05</v>
      </c>
      <c r="AN1151">
        <v>-35.72</v>
      </c>
      <c r="AO1151">
        <v>0</v>
      </c>
      <c r="AP1151">
        <v>548.33000000000004</v>
      </c>
      <c r="AT1151" t="str">
        <f t="shared" si="229"/>
        <v>9791137602663</v>
      </c>
      <c r="AV1151" t="str">
        <f t="shared" si="230"/>
        <v>판타지 웹소설 &gt; 퓨전 판타지</v>
      </c>
    </row>
    <row r="1152" spans="1:48" x14ac:dyDescent="0.4">
      <c r="A1152">
        <v>2313012849</v>
      </c>
      <c r="B1152">
        <v>2313012978</v>
      </c>
      <c r="C1152" t="str">
        <f>T("디버프 마스터 130화")</f>
        <v>디버프 마스터 130화</v>
      </c>
      <c r="D1152" t="str">
        <f>T("130")</f>
        <v>130</v>
      </c>
      <c r="E1152" t="str">
        <f t="shared" si="227"/>
        <v>담화공</v>
      </c>
      <c r="H1152" t="str">
        <f t="shared" si="222"/>
        <v>스토리위즈</v>
      </c>
      <c r="I1152" t="str">
        <f t="shared" si="228"/>
        <v>디버프 마스터</v>
      </c>
      <c r="J1152">
        <v>100</v>
      </c>
      <c r="K1152">
        <v>800</v>
      </c>
      <c r="L1152">
        <v>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800</v>
      </c>
      <c r="AH1152">
        <v>8</v>
      </c>
      <c r="AI1152">
        <v>0</v>
      </c>
      <c r="AJ1152">
        <v>0</v>
      </c>
      <c r="AK1152">
        <v>700</v>
      </c>
      <c r="AL1152">
        <v>0</v>
      </c>
      <c r="AM1152">
        <v>119.05</v>
      </c>
      <c r="AN1152">
        <v>-35.72</v>
      </c>
      <c r="AO1152">
        <v>0</v>
      </c>
      <c r="AP1152">
        <v>548.33000000000004</v>
      </c>
      <c r="AT1152" t="str">
        <f t="shared" si="229"/>
        <v>9791137602663</v>
      </c>
      <c r="AV1152" t="str">
        <f t="shared" si="230"/>
        <v>판타지 웹소설 &gt; 퓨전 판타지</v>
      </c>
    </row>
    <row r="1153" spans="1:48" x14ac:dyDescent="0.4">
      <c r="A1153">
        <v>2313012849</v>
      </c>
      <c r="B1153">
        <v>2313012979</v>
      </c>
      <c r="C1153" t="str">
        <f>T("디버프 마스터 131화")</f>
        <v>디버프 마스터 131화</v>
      </c>
      <c r="D1153" t="str">
        <f>T("131")</f>
        <v>131</v>
      </c>
      <c r="E1153" t="str">
        <f t="shared" si="227"/>
        <v>담화공</v>
      </c>
      <c r="H1153" t="str">
        <f t="shared" si="222"/>
        <v>스토리위즈</v>
      </c>
      <c r="I1153" t="str">
        <f t="shared" si="228"/>
        <v>디버프 마스터</v>
      </c>
      <c r="J1153">
        <v>100</v>
      </c>
      <c r="K1153">
        <v>800</v>
      </c>
      <c r="L1153">
        <v>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800</v>
      </c>
      <c r="AH1153">
        <v>8</v>
      </c>
      <c r="AI1153">
        <v>0</v>
      </c>
      <c r="AJ1153">
        <v>0</v>
      </c>
      <c r="AK1153">
        <v>700</v>
      </c>
      <c r="AL1153">
        <v>0</v>
      </c>
      <c r="AM1153">
        <v>119.05</v>
      </c>
      <c r="AN1153">
        <v>-35.72</v>
      </c>
      <c r="AO1153">
        <v>0</v>
      </c>
      <c r="AP1153">
        <v>548.33000000000004</v>
      </c>
      <c r="AT1153" t="str">
        <f t="shared" si="229"/>
        <v>9791137602663</v>
      </c>
      <c r="AV1153" t="str">
        <f t="shared" si="230"/>
        <v>판타지 웹소설 &gt; 퓨전 판타지</v>
      </c>
    </row>
    <row r="1154" spans="1:48" x14ac:dyDescent="0.4">
      <c r="A1154">
        <v>2313012849</v>
      </c>
      <c r="B1154">
        <v>2313013022</v>
      </c>
      <c r="C1154" t="str">
        <f>T("디버프 마스터 174화")</f>
        <v>디버프 마스터 174화</v>
      </c>
      <c r="D1154" t="str">
        <f>T("174")</f>
        <v>174</v>
      </c>
      <c r="E1154" t="str">
        <f t="shared" si="227"/>
        <v>담화공</v>
      </c>
      <c r="H1154" t="str">
        <f t="shared" ref="H1154:H1217" si="231">T("스토리위즈")</f>
        <v>스토리위즈</v>
      </c>
      <c r="I1154" t="str">
        <f t="shared" si="228"/>
        <v>디버프 마스터</v>
      </c>
      <c r="J1154">
        <v>100</v>
      </c>
      <c r="K1154">
        <v>800</v>
      </c>
      <c r="L1154">
        <v>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800</v>
      </c>
      <c r="AH1154">
        <v>8</v>
      </c>
      <c r="AI1154">
        <v>0</v>
      </c>
      <c r="AJ1154">
        <v>0</v>
      </c>
      <c r="AK1154">
        <v>700</v>
      </c>
      <c r="AL1154">
        <v>0</v>
      </c>
      <c r="AM1154">
        <v>119.05</v>
      </c>
      <c r="AN1154">
        <v>-35.72</v>
      </c>
      <c r="AO1154">
        <v>0</v>
      </c>
      <c r="AP1154">
        <v>548.33000000000004</v>
      </c>
      <c r="AT1154" t="str">
        <f t="shared" si="229"/>
        <v>9791137602663</v>
      </c>
      <c r="AV1154" t="str">
        <f t="shared" si="230"/>
        <v>판타지 웹소설 &gt; 퓨전 판타지</v>
      </c>
    </row>
    <row r="1155" spans="1:48" x14ac:dyDescent="0.4">
      <c r="A1155">
        <v>2313012849</v>
      </c>
      <c r="B1155">
        <v>2313013023</v>
      </c>
      <c r="C1155" t="str">
        <f>T("디버프 마스터 175화")</f>
        <v>디버프 마스터 175화</v>
      </c>
      <c r="D1155" t="str">
        <f>T("175")</f>
        <v>175</v>
      </c>
      <c r="E1155" t="str">
        <f t="shared" si="227"/>
        <v>담화공</v>
      </c>
      <c r="H1155" t="str">
        <f t="shared" si="231"/>
        <v>스토리위즈</v>
      </c>
      <c r="I1155" t="str">
        <f t="shared" si="228"/>
        <v>디버프 마스터</v>
      </c>
      <c r="J1155">
        <v>100</v>
      </c>
      <c r="K1155">
        <v>800</v>
      </c>
      <c r="L1155">
        <v>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800</v>
      </c>
      <c r="AH1155">
        <v>8</v>
      </c>
      <c r="AI1155">
        <v>0</v>
      </c>
      <c r="AJ1155">
        <v>0</v>
      </c>
      <c r="AK1155">
        <v>700</v>
      </c>
      <c r="AL1155">
        <v>0</v>
      </c>
      <c r="AM1155">
        <v>119.05</v>
      </c>
      <c r="AN1155">
        <v>-35.72</v>
      </c>
      <c r="AO1155">
        <v>0</v>
      </c>
      <c r="AP1155">
        <v>548.33000000000004</v>
      </c>
      <c r="AT1155" t="str">
        <f t="shared" si="229"/>
        <v>9791137602663</v>
      </c>
      <c r="AV1155" t="str">
        <f t="shared" si="230"/>
        <v>판타지 웹소설 &gt; 퓨전 판타지</v>
      </c>
    </row>
    <row r="1156" spans="1:48" x14ac:dyDescent="0.4">
      <c r="A1156">
        <v>2313012849</v>
      </c>
      <c r="B1156">
        <v>2313013024</v>
      </c>
      <c r="C1156" t="str">
        <f>T("디버프 마스터 176화")</f>
        <v>디버프 마스터 176화</v>
      </c>
      <c r="D1156" t="str">
        <f>T("176")</f>
        <v>176</v>
      </c>
      <c r="E1156" t="str">
        <f t="shared" si="227"/>
        <v>담화공</v>
      </c>
      <c r="H1156" t="str">
        <f t="shared" si="231"/>
        <v>스토리위즈</v>
      </c>
      <c r="I1156" t="str">
        <f t="shared" si="228"/>
        <v>디버프 마스터</v>
      </c>
      <c r="J1156">
        <v>100</v>
      </c>
      <c r="K1156">
        <v>800</v>
      </c>
      <c r="L1156">
        <v>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800</v>
      </c>
      <c r="AH1156">
        <v>8</v>
      </c>
      <c r="AI1156">
        <v>0</v>
      </c>
      <c r="AJ1156">
        <v>0</v>
      </c>
      <c r="AK1156">
        <v>700</v>
      </c>
      <c r="AL1156">
        <v>0</v>
      </c>
      <c r="AM1156">
        <v>119.05</v>
      </c>
      <c r="AN1156">
        <v>-35.72</v>
      </c>
      <c r="AO1156">
        <v>0</v>
      </c>
      <c r="AP1156">
        <v>548.33000000000004</v>
      </c>
      <c r="AT1156" t="str">
        <f t="shared" si="229"/>
        <v>9791137602663</v>
      </c>
      <c r="AV1156" t="str">
        <f t="shared" si="230"/>
        <v>판타지 웹소설 &gt; 퓨전 판타지</v>
      </c>
    </row>
    <row r="1157" spans="1:48" x14ac:dyDescent="0.4">
      <c r="A1157">
        <v>2313012849</v>
      </c>
      <c r="B1157">
        <v>2313013025</v>
      </c>
      <c r="C1157" t="str">
        <f>T("디버프 마스터 177화")</f>
        <v>디버프 마스터 177화</v>
      </c>
      <c r="D1157" t="str">
        <f>T("177")</f>
        <v>177</v>
      </c>
      <c r="E1157" t="str">
        <f t="shared" si="227"/>
        <v>담화공</v>
      </c>
      <c r="H1157" t="str">
        <f t="shared" si="231"/>
        <v>스토리위즈</v>
      </c>
      <c r="I1157" t="str">
        <f t="shared" si="228"/>
        <v>디버프 마스터</v>
      </c>
      <c r="J1157">
        <v>100</v>
      </c>
      <c r="K1157">
        <v>800</v>
      </c>
      <c r="L1157">
        <v>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800</v>
      </c>
      <c r="AH1157">
        <v>8</v>
      </c>
      <c r="AI1157">
        <v>0</v>
      </c>
      <c r="AJ1157">
        <v>0</v>
      </c>
      <c r="AK1157">
        <v>700</v>
      </c>
      <c r="AL1157">
        <v>0</v>
      </c>
      <c r="AM1157">
        <v>119.05</v>
      </c>
      <c r="AN1157">
        <v>-35.72</v>
      </c>
      <c r="AO1157">
        <v>0</v>
      </c>
      <c r="AP1157">
        <v>548.33000000000004</v>
      </c>
      <c r="AT1157" t="str">
        <f t="shared" si="229"/>
        <v>9791137602663</v>
      </c>
      <c r="AV1157" t="str">
        <f t="shared" si="230"/>
        <v>판타지 웹소설 &gt; 퓨전 판타지</v>
      </c>
    </row>
    <row r="1158" spans="1:48" x14ac:dyDescent="0.4">
      <c r="A1158">
        <v>2313012849</v>
      </c>
      <c r="B1158">
        <v>2313013026</v>
      </c>
      <c r="C1158" t="str">
        <f>T("디버프 마스터 178화")</f>
        <v>디버프 마스터 178화</v>
      </c>
      <c r="D1158" t="str">
        <f>T("178")</f>
        <v>178</v>
      </c>
      <c r="E1158" t="str">
        <f t="shared" si="227"/>
        <v>담화공</v>
      </c>
      <c r="H1158" t="str">
        <f t="shared" si="231"/>
        <v>스토리위즈</v>
      </c>
      <c r="I1158" t="str">
        <f t="shared" si="228"/>
        <v>디버프 마스터</v>
      </c>
      <c r="J1158">
        <v>100</v>
      </c>
      <c r="K1158">
        <v>800</v>
      </c>
      <c r="L1158">
        <v>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800</v>
      </c>
      <c r="AH1158">
        <v>8</v>
      </c>
      <c r="AI1158">
        <v>0</v>
      </c>
      <c r="AJ1158">
        <v>0</v>
      </c>
      <c r="AK1158">
        <v>700</v>
      </c>
      <c r="AL1158">
        <v>0</v>
      </c>
      <c r="AM1158">
        <v>119.05</v>
      </c>
      <c r="AN1158">
        <v>-35.72</v>
      </c>
      <c r="AO1158">
        <v>0</v>
      </c>
      <c r="AP1158">
        <v>548.33000000000004</v>
      </c>
      <c r="AT1158" t="str">
        <f t="shared" si="229"/>
        <v>9791137602663</v>
      </c>
      <c r="AV1158" t="str">
        <f t="shared" si="230"/>
        <v>판타지 웹소설 &gt; 퓨전 판타지</v>
      </c>
    </row>
    <row r="1159" spans="1:48" x14ac:dyDescent="0.4">
      <c r="A1159">
        <v>2313012849</v>
      </c>
      <c r="B1159">
        <v>2313013027</v>
      </c>
      <c r="C1159" t="str">
        <f>T("디버프 마스터 179화")</f>
        <v>디버프 마스터 179화</v>
      </c>
      <c r="D1159" t="str">
        <f>T("179")</f>
        <v>179</v>
      </c>
      <c r="E1159" t="str">
        <f t="shared" si="227"/>
        <v>담화공</v>
      </c>
      <c r="H1159" t="str">
        <f t="shared" si="231"/>
        <v>스토리위즈</v>
      </c>
      <c r="I1159" t="str">
        <f t="shared" si="228"/>
        <v>디버프 마스터</v>
      </c>
      <c r="J1159">
        <v>100</v>
      </c>
      <c r="K1159">
        <v>800</v>
      </c>
      <c r="L1159">
        <v>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800</v>
      </c>
      <c r="AH1159">
        <v>8</v>
      </c>
      <c r="AI1159">
        <v>0</v>
      </c>
      <c r="AJ1159">
        <v>0</v>
      </c>
      <c r="AK1159">
        <v>700</v>
      </c>
      <c r="AL1159">
        <v>0</v>
      </c>
      <c r="AM1159">
        <v>119.05</v>
      </c>
      <c r="AN1159">
        <v>-35.72</v>
      </c>
      <c r="AO1159">
        <v>0</v>
      </c>
      <c r="AP1159">
        <v>548.33000000000004</v>
      </c>
      <c r="AT1159" t="str">
        <f t="shared" si="229"/>
        <v>9791137602663</v>
      </c>
      <c r="AV1159" t="str">
        <f t="shared" si="230"/>
        <v>판타지 웹소설 &gt; 퓨전 판타지</v>
      </c>
    </row>
    <row r="1160" spans="1:48" x14ac:dyDescent="0.4">
      <c r="A1160">
        <v>2313012849</v>
      </c>
      <c r="B1160">
        <v>2313013028</v>
      </c>
      <c r="C1160" t="str">
        <f>T("디버프 마스터 180화")</f>
        <v>디버프 마스터 180화</v>
      </c>
      <c r="D1160" t="str">
        <f>T("180")</f>
        <v>180</v>
      </c>
      <c r="E1160" t="str">
        <f t="shared" si="227"/>
        <v>담화공</v>
      </c>
      <c r="H1160" t="str">
        <f t="shared" si="231"/>
        <v>스토리위즈</v>
      </c>
      <c r="I1160" t="str">
        <f t="shared" si="228"/>
        <v>디버프 마스터</v>
      </c>
      <c r="J1160">
        <v>100</v>
      </c>
      <c r="K1160">
        <v>800</v>
      </c>
      <c r="L1160">
        <v>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800</v>
      </c>
      <c r="AH1160">
        <v>8</v>
      </c>
      <c r="AI1160">
        <v>0</v>
      </c>
      <c r="AJ1160">
        <v>0</v>
      </c>
      <c r="AK1160">
        <v>700</v>
      </c>
      <c r="AL1160">
        <v>0</v>
      </c>
      <c r="AM1160">
        <v>119.05</v>
      </c>
      <c r="AN1160">
        <v>-35.72</v>
      </c>
      <c r="AO1160">
        <v>0</v>
      </c>
      <c r="AP1160">
        <v>548.33000000000004</v>
      </c>
      <c r="AT1160" t="str">
        <f t="shared" si="229"/>
        <v>9791137602663</v>
      </c>
      <c r="AV1160" t="str">
        <f t="shared" si="230"/>
        <v>판타지 웹소설 &gt; 퓨전 판타지</v>
      </c>
    </row>
    <row r="1161" spans="1:48" x14ac:dyDescent="0.4">
      <c r="A1161">
        <v>2313012849</v>
      </c>
      <c r="B1161">
        <v>2313013029</v>
      </c>
      <c r="C1161" t="str">
        <f>T("디버프 마스터 181화")</f>
        <v>디버프 마스터 181화</v>
      </c>
      <c r="D1161" t="str">
        <f>T("181")</f>
        <v>181</v>
      </c>
      <c r="E1161" t="str">
        <f t="shared" si="227"/>
        <v>담화공</v>
      </c>
      <c r="H1161" t="str">
        <f t="shared" si="231"/>
        <v>스토리위즈</v>
      </c>
      <c r="I1161" t="str">
        <f t="shared" si="228"/>
        <v>디버프 마스터</v>
      </c>
      <c r="J1161">
        <v>100</v>
      </c>
      <c r="K1161">
        <v>800</v>
      </c>
      <c r="L1161">
        <v>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800</v>
      </c>
      <c r="AH1161">
        <v>8</v>
      </c>
      <c r="AI1161">
        <v>0</v>
      </c>
      <c r="AJ1161">
        <v>0</v>
      </c>
      <c r="AK1161">
        <v>700</v>
      </c>
      <c r="AL1161">
        <v>0</v>
      </c>
      <c r="AM1161">
        <v>119.05</v>
      </c>
      <c r="AN1161">
        <v>-35.72</v>
      </c>
      <c r="AO1161">
        <v>0</v>
      </c>
      <c r="AP1161">
        <v>548.33000000000004</v>
      </c>
      <c r="AT1161" t="str">
        <f t="shared" si="229"/>
        <v>9791137602663</v>
      </c>
      <c r="AV1161" t="str">
        <f t="shared" si="230"/>
        <v>판타지 웹소설 &gt; 퓨전 판타지</v>
      </c>
    </row>
    <row r="1162" spans="1:48" x14ac:dyDescent="0.4">
      <c r="A1162">
        <v>2313012849</v>
      </c>
      <c r="B1162">
        <v>2313013030</v>
      </c>
      <c r="C1162" t="str">
        <f>T("디버프 마스터 182화")</f>
        <v>디버프 마스터 182화</v>
      </c>
      <c r="D1162" t="str">
        <f>T("182")</f>
        <v>182</v>
      </c>
      <c r="E1162" t="str">
        <f t="shared" si="227"/>
        <v>담화공</v>
      </c>
      <c r="H1162" t="str">
        <f t="shared" si="231"/>
        <v>스토리위즈</v>
      </c>
      <c r="I1162" t="str">
        <f t="shared" si="228"/>
        <v>디버프 마스터</v>
      </c>
      <c r="J1162">
        <v>100</v>
      </c>
      <c r="K1162">
        <v>800</v>
      </c>
      <c r="L1162">
        <v>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800</v>
      </c>
      <c r="AH1162">
        <v>8</v>
      </c>
      <c r="AI1162">
        <v>0</v>
      </c>
      <c r="AJ1162">
        <v>0</v>
      </c>
      <c r="AK1162">
        <v>700</v>
      </c>
      <c r="AL1162">
        <v>0</v>
      </c>
      <c r="AM1162">
        <v>119.05</v>
      </c>
      <c r="AN1162">
        <v>-35.72</v>
      </c>
      <c r="AO1162">
        <v>0</v>
      </c>
      <c r="AP1162">
        <v>548.33000000000004</v>
      </c>
      <c r="AT1162" t="str">
        <f t="shared" si="229"/>
        <v>9791137602663</v>
      </c>
      <c r="AV1162" t="str">
        <f t="shared" si="230"/>
        <v>판타지 웹소설 &gt; 퓨전 판타지</v>
      </c>
    </row>
    <row r="1163" spans="1:48" x14ac:dyDescent="0.4">
      <c r="A1163">
        <v>2313012849</v>
      </c>
      <c r="B1163">
        <v>2313013031</v>
      </c>
      <c r="C1163" t="str">
        <f>T("디버프 마스터 183화")</f>
        <v>디버프 마스터 183화</v>
      </c>
      <c r="D1163" t="str">
        <f>T("183")</f>
        <v>183</v>
      </c>
      <c r="E1163" t="str">
        <f t="shared" si="227"/>
        <v>담화공</v>
      </c>
      <c r="H1163" t="str">
        <f t="shared" si="231"/>
        <v>스토리위즈</v>
      </c>
      <c r="I1163" t="str">
        <f t="shared" si="228"/>
        <v>디버프 마스터</v>
      </c>
      <c r="J1163">
        <v>100</v>
      </c>
      <c r="K1163">
        <v>800</v>
      </c>
      <c r="L1163">
        <v>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800</v>
      </c>
      <c r="AH1163">
        <v>8</v>
      </c>
      <c r="AI1163">
        <v>0</v>
      </c>
      <c r="AJ1163">
        <v>0</v>
      </c>
      <c r="AK1163">
        <v>700</v>
      </c>
      <c r="AL1163">
        <v>0</v>
      </c>
      <c r="AM1163">
        <v>119.05</v>
      </c>
      <c r="AN1163">
        <v>-35.72</v>
      </c>
      <c r="AO1163">
        <v>0</v>
      </c>
      <c r="AP1163">
        <v>548.33000000000004</v>
      </c>
      <c r="AT1163" t="str">
        <f t="shared" si="229"/>
        <v>9791137602663</v>
      </c>
      <c r="AV1163" t="str">
        <f t="shared" si="230"/>
        <v>판타지 웹소설 &gt; 퓨전 판타지</v>
      </c>
    </row>
    <row r="1164" spans="1:48" x14ac:dyDescent="0.4">
      <c r="A1164">
        <v>2313012849</v>
      </c>
      <c r="B1164">
        <v>2313013032</v>
      </c>
      <c r="C1164" t="str">
        <f>T("디버프 마스터 184화")</f>
        <v>디버프 마스터 184화</v>
      </c>
      <c r="D1164" t="str">
        <f>T("184")</f>
        <v>184</v>
      </c>
      <c r="E1164" t="str">
        <f t="shared" si="227"/>
        <v>담화공</v>
      </c>
      <c r="H1164" t="str">
        <f t="shared" si="231"/>
        <v>스토리위즈</v>
      </c>
      <c r="I1164" t="str">
        <f t="shared" si="228"/>
        <v>디버프 마스터</v>
      </c>
      <c r="J1164">
        <v>100</v>
      </c>
      <c r="K1164">
        <v>800</v>
      </c>
      <c r="L1164">
        <v>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800</v>
      </c>
      <c r="AH1164">
        <v>8</v>
      </c>
      <c r="AI1164">
        <v>0</v>
      </c>
      <c r="AJ1164">
        <v>0</v>
      </c>
      <c r="AK1164">
        <v>700</v>
      </c>
      <c r="AL1164">
        <v>0</v>
      </c>
      <c r="AM1164">
        <v>119.05</v>
      </c>
      <c r="AN1164">
        <v>-35.72</v>
      </c>
      <c r="AO1164">
        <v>0</v>
      </c>
      <c r="AP1164">
        <v>548.33000000000004</v>
      </c>
      <c r="AT1164" t="str">
        <f t="shared" si="229"/>
        <v>9791137602663</v>
      </c>
      <c r="AV1164" t="str">
        <f t="shared" si="230"/>
        <v>판타지 웹소설 &gt; 퓨전 판타지</v>
      </c>
    </row>
    <row r="1165" spans="1:48" x14ac:dyDescent="0.4">
      <c r="A1165">
        <v>2313012849</v>
      </c>
      <c r="B1165">
        <v>2313013033</v>
      </c>
      <c r="C1165" t="str">
        <f>T("디버프 마스터 185화")</f>
        <v>디버프 마스터 185화</v>
      </c>
      <c r="D1165" t="str">
        <f>T("185")</f>
        <v>185</v>
      </c>
      <c r="E1165" t="str">
        <f t="shared" si="227"/>
        <v>담화공</v>
      </c>
      <c r="H1165" t="str">
        <f t="shared" si="231"/>
        <v>스토리위즈</v>
      </c>
      <c r="I1165" t="str">
        <f t="shared" si="228"/>
        <v>디버프 마스터</v>
      </c>
      <c r="J1165">
        <v>100</v>
      </c>
      <c r="K1165">
        <v>800</v>
      </c>
      <c r="L1165">
        <v>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800</v>
      </c>
      <c r="AH1165">
        <v>8</v>
      </c>
      <c r="AI1165">
        <v>0</v>
      </c>
      <c r="AJ1165">
        <v>0</v>
      </c>
      <c r="AK1165">
        <v>700</v>
      </c>
      <c r="AL1165">
        <v>0</v>
      </c>
      <c r="AM1165">
        <v>119.05</v>
      </c>
      <c r="AN1165">
        <v>-35.72</v>
      </c>
      <c r="AO1165">
        <v>0</v>
      </c>
      <c r="AP1165">
        <v>548.33000000000004</v>
      </c>
      <c r="AT1165" t="str">
        <f t="shared" si="229"/>
        <v>9791137602663</v>
      </c>
      <c r="AV1165" t="str">
        <f t="shared" si="230"/>
        <v>판타지 웹소설 &gt; 퓨전 판타지</v>
      </c>
    </row>
    <row r="1166" spans="1:48" x14ac:dyDescent="0.4">
      <c r="A1166">
        <v>2313012849</v>
      </c>
      <c r="B1166">
        <v>2313013034</v>
      </c>
      <c r="C1166" t="str">
        <f>T("디버프 마스터 186화")</f>
        <v>디버프 마스터 186화</v>
      </c>
      <c r="D1166" t="str">
        <f>T("186")</f>
        <v>186</v>
      </c>
      <c r="E1166" t="str">
        <f t="shared" si="227"/>
        <v>담화공</v>
      </c>
      <c r="H1166" t="str">
        <f t="shared" si="231"/>
        <v>스토리위즈</v>
      </c>
      <c r="I1166" t="str">
        <f t="shared" si="228"/>
        <v>디버프 마스터</v>
      </c>
      <c r="J1166">
        <v>100</v>
      </c>
      <c r="K1166">
        <v>800</v>
      </c>
      <c r="L1166">
        <v>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800</v>
      </c>
      <c r="AH1166">
        <v>8</v>
      </c>
      <c r="AI1166">
        <v>0</v>
      </c>
      <c r="AJ1166">
        <v>0</v>
      </c>
      <c r="AK1166">
        <v>700</v>
      </c>
      <c r="AL1166">
        <v>0</v>
      </c>
      <c r="AM1166">
        <v>119.05</v>
      </c>
      <c r="AN1166">
        <v>-35.72</v>
      </c>
      <c r="AO1166">
        <v>0</v>
      </c>
      <c r="AP1166">
        <v>548.33000000000004</v>
      </c>
      <c r="AT1166" t="str">
        <f t="shared" si="229"/>
        <v>9791137602663</v>
      </c>
      <c r="AV1166" t="str">
        <f t="shared" si="230"/>
        <v>판타지 웹소설 &gt; 퓨전 판타지</v>
      </c>
    </row>
    <row r="1167" spans="1:48" x14ac:dyDescent="0.4">
      <c r="A1167">
        <v>2313012849</v>
      </c>
      <c r="B1167">
        <v>2313013035</v>
      </c>
      <c r="C1167" t="str">
        <f>T("디버프 마스터 187화")</f>
        <v>디버프 마스터 187화</v>
      </c>
      <c r="D1167" t="str">
        <f>T("187")</f>
        <v>187</v>
      </c>
      <c r="E1167" t="str">
        <f t="shared" si="227"/>
        <v>담화공</v>
      </c>
      <c r="H1167" t="str">
        <f t="shared" si="231"/>
        <v>스토리위즈</v>
      </c>
      <c r="I1167" t="str">
        <f t="shared" si="228"/>
        <v>디버프 마스터</v>
      </c>
      <c r="J1167">
        <v>100</v>
      </c>
      <c r="K1167">
        <v>800</v>
      </c>
      <c r="L1167">
        <v>8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800</v>
      </c>
      <c r="AH1167">
        <v>8</v>
      </c>
      <c r="AI1167">
        <v>0</v>
      </c>
      <c r="AJ1167">
        <v>0</v>
      </c>
      <c r="AK1167">
        <v>700</v>
      </c>
      <c r="AL1167">
        <v>0</v>
      </c>
      <c r="AM1167">
        <v>119.05</v>
      </c>
      <c r="AN1167">
        <v>-35.72</v>
      </c>
      <c r="AO1167">
        <v>0</v>
      </c>
      <c r="AP1167">
        <v>548.33000000000004</v>
      </c>
      <c r="AT1167" t="str">
        <f t="shared" si="229"/>
        <v>9791137602663</v>
      </c>
      <c r="AV1167" t="str">
        <f t="shared" si="230"/>
        <v>판타지 웹소설 &gt; 퓨전 판타지</v>
      </c>
    </row>
    <row r="1168" spans="1:48" x14ac:dyDescent="0.4">
      <c r="A1168">
        <v>2313012849</v>
      </c>
      <c r="B1168">
        <v>2313013036</v>
      </c>
      <c r="C1168" t="str">
        <f>T("디버프 마스터 188화")</f>
        <v>디버프 마스터 188화</v>
      </c>
      <c r="D1168" t="str">
        <f>T("188")</f>
        <v>188</v>
      </c>
      <c r="E1168" t="str">
        <f t="shared" si="227"/>
        <v>담화공</v>
      </c>
      <c r="H1168" t="str">
        <f t="shared" si="231"/>
        <v>스토리위즈</v>
      </c>
      <c r="I1168" t="str">
        <f t="shared" si="228"/>
        <v>디버프 마스터</v>
      </c>
      <c r="J1168">
        <v>100</v>
      </c>
      <c r="K1168">
        <v>800</v>
      </c>
      <c r="L1168">
        <v>8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800</v>
      </c>
      <c r="AH1168">
        <v>8</v>
      </c>
      <c r="AI1168">
        <v>0</v>
      </c>
      <c r="AJ1168">
        <v>0</v>
      </c>
      <c r="AK1168">
        <v>700</v>
      </c>
      <c r="AL1168">
        <v>0</v>
      </c>
      <c r="AM1168">
        <v>119.05</v>
      </c>
      <c r="AN1168">
        <v>-35.72</v>
      </c>
      <c r="AO1168">
        <v>0</v>
      </c>
      <c r="AP1168">
        <v>548.33000000000004</v>
      </c>
      <c r="AT1168" t="str">
        <f t="shared" si="229"/>
        <v>9791137602663</v>
      </c>
      <c r="AV1168" t="str">
        <f t="shared" si="230"/>
        <v>판타지 웹소설 &gt; 퓨전 판타지</v>
      </c>
    </row>
    <row r="1169" spans="1:48" x14ac:dyDescent="0.4">
      <c r="A1169">
        <v>2313012849</v>
      </c>
      <c r="B1169">
        <v>2313013037</v>
      </c>
      <c r="C1169" t="str">
        <f>T("디버프 마스터 189화")</f>
        <v>디버프 마스터 189화</v>
      </c>
      <c r="D1169" t="str">
        <f>T("189")</f>
        <v>189</v>
      </c>
      <c r="E1169" t="str">
        <f t="shared" si="227"/>
        <v>담화공</v>
      </c>
      <c r="H1169" t="str">
        <f t="shared" si="231"/>
        <v>스토리위즈</v>
      </c>
      <c r="I1169" t="str">
        <f t="shared" si="228"/>
        <v>디버프 마스터</v>
      </c>
      <c r="J1169">
        <v>100</v>
      </c>
      <c r="K1169">
        <v>800</v>
      </c>
      <c r="L1169">
        <v>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800</v>
      </c>
      <c r="AH1169">
        <v>8</v>
      </c>
      <c r="AI1169">
        <v>0</v>
      </c>
      <c r="AJ1169">
        <v>0</v>
      </c>
      <c r="AK1169">
        <v>700</v>
      </c>
      <c r="AL1169">
        <v>0</v>
      </c>
      <c r="AM1169">
        <v>119.05</v>
      </c>
      <c r="AN1169">
        <v>-35.72</v>
      </c>
      <c r="AO1169">
        <v>0</v>
      </c>
      <c r="AP1169">
        <v>548.33000000000004</v>
      </c>
      <c r="AT1169" t="str">
        <f t="shared" si="229"/>
        <v>9791137602663</v>
      </c>
      <c r="AV1169" t="str">
        <f t="shared" si="230"/>
        <v>판타지 웹소설 &gt; 퓨전 판타지</v>
      </c>
    </row>
    <row r="1170" spans="1:48" x14ac:dyDescent="0.4">
      <c r="A1170">
        <v>2313012849</v>
      </c>
      <c r="B1170">
        <v>2313013038</v>
      </c>
      <c r="C1170" t="str">
        <f>T("디버프 마스터 190화")</f>
        <v>디버프 마스터 190화</v>
      </c>
      <c r="D1170" t="str">
        <f>T("190")</f>
        <v>190</v>
      </c>
      <c r="E1170" t="str">
        <f t="shared" si="227"/>
        <v>담화공</v>
      </c>
      <c r="H1170" t="str">
        <f t="shared" si="231"/>
        <v>스토리위즈</v>
      </c>
      <c r="I1170" t="str">
        <f t="shared" si="228"/>
        <v>디버프 마스터</v>
      </c>
      <c r="J1170">
        <v>100</v>
      </c>
      <c r="K1170">
        <v>800</v>
      </c>
      <c r="L1170">
        <v>8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800</v>
      </c>
      <c r="AH1170">
        <v>8</v>
      </c>
      <c r="AI1170">
        <v>0</v>
      </c>
      <c r="AJ1170">
        <v>0</v>
      </c>
      <c r="AK1170">
        <v>700</v>
      </c>
      <c r="AL1170">
        <v>0</v>
      </c>
      <c r="AM1170">
        <v>119.05</v>
      </c>
      <c r="AN1170">
        <v>-35.72</v>
      </c>
      <c r="AO1170">
        <v>0</v>
      </c>
      <c r="AP1170">
        <v>548.33000000000004</v>
      </c>
      <c r="AT1170" t="str">
        <f t="shared" si="229"/>
        <v>9791137602663</v>
      </c>
      <c r="AV1170" t="str">
        <f t="shared" si="230"/>
        <v>판타지 웹소설 &gt; 퓨전 판타지</v>
      </c>
    </row>
    <row r="1171" spans="1:48" x14ac:dyDescent="0.4">
      <c r="A1171">
        <v>2313012849</v>
      </c>
      <c r="B1171">
        <v>2313013039</v>
      </c>
      <c r="C1171" t="str">
        <f>T("디버프 마스터 191화")</f>
        <v>디버프 마스터 191화</v>
      </c>
      <c r="D1171" t="str">
        <f>T("191")</f>
        <v>191</v>
      </c>
      <c r="E1171" t="str">
        <f t="shared" si="227"/>
        <v>담화공</v>
      </c>
      <c r="H1171" t="str">
        <f t="shared" si="231"/>
        <v>스토리위즈</v>
      </c>
      <c r="I1171" t="str">
        <f t="shared" si="228"/>
        <v>디버프 마스터</v>
      </c>
      <c r="J1171">
        <v>100</v>
      </c>
      <c r="K1171">
        <v>800</v>
      </c>
      <c r="L1171">
        <v>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800</v>
      </c>
      <c r="AH1171">
        <v>8</v>
      </c>
      <c r="AI1171">
        <v>0</v>
      </c>
      <c r="AJ1171">
        <v>0</v>
      </c>
      <c r="AK1171">
        <v>700</v>
      </c>
      <c r="AL1171">
        <v>0</v>
      </c>
      <c r="AM1171">
        <v>119.05</v>
      </c>
      <c r="AN1171">
        <v>-35.72</v>
      </c>
      <c r="AO1171">
        <v>0</v>
      </c>
      <c r="AP1171">
        <v>548.33000000000004</v>
      </c>
      <c r="AT1171" t="str">
        <f t="shared" si="229"/>
        <v>9791137602663</v>
      </c>
      <c r="AV1171" t="str">
        <f t="shared" si="230"/>
        <v>판타지 웹소설 &gt; 퓨전 판타지</v>
      </c>
    </row>
    <row r="1172" spans="1:48" x14ac:dyDescent="0.4">
      <c r="A1172">
        <v>2313012849</v>
      </c>
      <c r="B1172">
        <v>2313013040</v>
      </c>
      <c r="C1172" t="str">
        <f>T("디버프 마스터 192화")</f>
        <v>디버프 마스터 192화</v>
      </c>
      <c r="D1172" t="str">
        <f>T("192")</f>
        <v>192</v>
      </c>
      <c r="E1172" t="str">
        <f t="shared" si="227"/>
        <v>담화공</v>
      </c>
      <c r="H1172" t="str">
        <f t="shared" si="231"/>
        <v>스토리위즈</v>
      </c>
      <c r="I1172" t="str">
        <f t="shared" si="228"/>
        <v>디버프 마스터</v>
      </c>
      <c r="J1172">
        <v>100</v>
      </c>
      <c r="K1172">
        <v>800</v>
      </c>
      <c r="L1172">
        <v>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800</v>
      </c>
      <c r="AH1172">
        <v>8</v>
      </c>
      <c r="AI1172">
        <v>0</v>
      </c>
      <c r="AJ1172">
        <v>0</v>
      </c>
      <c r="AK1172">
        <v>700</v>
      </c>
      <c r="AL1172">
        <v>0</v>
      </c>
      <c r="AM1172">
        <v>119.05</v>
      </c>
      <c r="AN1172">
        <v>-35.72</v>
      </c>
      <c r="AO1172">
        <v>0</v>
      </c>
      <c r="AP1172">
        <v>548.33000000000004</v>
      </c>
      <c r="AT1172" t="str">
        <f t="shared" si="229"/>
        <v>9791137602663</v>
      </c>
      <c r="AV1172" t="str">
        <f t="shared" si="230"/>
        <v>판타지 웹소설 &gt; 퓨전 판타지</v>
      </c>
    </row>
    <row r="1173" spans="1:48" x14ac:dyDescent="0.4">
      <c r="A1173">
        <v>2313012849</v>
      </c>
      <c r="B1173">
        <v>2313013041</v>
      </c>
      <c r="C1173" t="str">
        <f>T("디버프 마스터 193화")</f>
        <v>디버프 마스터 193화</v>
      </c>
      <c r="D1173" t="str">
        <f>T("193")</f>
        <v>193</v>
      </c>
      <c r="E1173" t="str">
        <f t="shared" si="227"/>
        <v>담화공</v>
      </c>
      <c r="H1173" t="str">
        <f t="shared" si="231"/>
        <v>스토리위즈</v>
      </c>
      <c r="I1173" t="str">
        <f t="shared" si="228"/>
        <v>디버프 마스터</v>
      </c>
      <c r="J1173">
        <v>100</v>
      </c>
      <c r="K1173">
        <v>800</v>
      </c>
      <c r="L1173">
        <v>8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800</v>
      </c>
      <c r="AH1173">
        <v>8</v>
      </c>
      <c r="AI1173">
        <v>0</v>
      </c>
      <c r="AJ1173">
        <v>0</v>
      </c>
      <c r="AK1173">
        <v>700</v>
      </c>
      <c r="AL1173">
        <v>0</v>
      </c>
      <c r="AM1173">
        <v>119.05</v>
      </c>
      <c r="AN1173">
        <v>-35.72</v>
      </c>
      <c r="AO1173">
        <v>0</v>
      </c>
      <c r="AP1173">
        <v>548.33000000000004</v>
      </c>
      <c r="AT1173" t="str">
        <f t="shared" si="229"/>
        <v>9791137602663</v>
      </c>
      <c r="AV1173" t="str">
        <f t="shared" si="230"/>
        <v>판타지 웹소설 &gt; 퓨전 판타지</v>
      </c>
    </row>
    <row r="1174" spans="1:48" x14ac:dyDescent="0.4">
      <c r="A1174">
        <v>2313012849</v>
      </c>
      <c r="B1174">
        <v>2313013042</v>
      </c>
      <c r="C1174" t="str">
        <f>T("디버프 마스터 194화")</f>
        <v>디버프 마스터 194화</v>
      </c>
      <c r="D1174" t="str">
        <f>T("194")</f>
        <v>194</v>
      </c>
      <c r="E1174" t="str">
        <f t="shared" si="227"/>
        <v>담화공</v>
      </c>
      <c r="H1174" t="str">
        <f t="shared" si="231"/>
        <v>스토리위즈</v>
      </c>
      <c r="I1174" t="str">
        <f t="shared" si="228"/>
        <v>디버프 마스터</v>
      </c>
      <c r="J1174">
        <v>100</v>
      </c>
      <c r="K1174">
        <v>800</v>
      </c>
      <c r="L1174">
        <v>8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800</v>
      </c>
      <c r="AH1174">
        <v>8</v>
      </c>
      <c r="AI1174">
        <v>0</v>
      </c>
      <c r="AJ1174">
        <v>0</v>
      </c>
      <c r="AK1174">
        <v>700</v>
      </c>
      <c r="AL1174">
        <v>0</v>
      </c>
      <c r="AM1174">
        <v>119.05</v>
      </c>
      <c r="AN1174">
        <v>-35.72</v>
      </c>
      <c r="AO1174">
        <v>0</v>
      </c>
      <c r="AP1174">
        <v>548.33000000000004</v>
      </c>
      <c r="AT1174" t="str">
        <f t="shared" si="229"/>
        <v>9791137602663</v>
      </c>
      <c r="AV1174" t="str">
        <f t="shared" si="230"/>
        <v>판타지 웹소설 &gt; 퓨전 판타지</v>
      </c>
    </row>
    <row r="1175" spans="1:48" x14ac:dyDescent="0.4">
      <c r="A1175">
        <v>2313012849</v>
      </c>
      <c r="B1175">
        <v>2313013043</v>
      </c>
      <c r="C1175" t="str">
        <f>T("디버프 마스터 195화")</f>
        <v>디버프 마스터 195화</v>
      </c>
      <c r="D1175" t="str">
        <f>T("195")</f>
        <v>195</v>
      </c>
      <c r="E1175" t="str">
        <f t="shared" si="227"/>
        <v>담화공</v>
      </c>
      <c r="H1175" t="str">
        <f t="shared" si="231"/>
        <v>스토리위즈</v>
      </c>
      <c r="I1175" t="str">
        <f t="shared" si="228"/>
        <v>디버프 마스터</v>
      </c>
      <c r="J1175">
        <v>100</v>
      </c>
      <c r="K1175">
        <v>800</v>
      </c>
      <c r="L1175">
        <v>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800</v>
      </c>
      <c r="AH1175">
        <v>8</v>
      </c>
      <c r="AI1175">
        <v>0</v>
      </c>
      <c r="AJ1175">
        <v>0</v>
      </c>
      <c r="AK1175">
        <v>700</v>
      </c>
      <c r="AL1175">
        <v>0</v>
      </c>
      <c r="AM1175">
        <v>119.05</v>
      </c>
      <c r="AN1175">
        <v>-35.72</v>
      </c>
      <c r="AO1175">
        <v>0</v>
      </c>
      <c r="AP1175">
        <v>548.33000000000004</v>
      </c>
      <c r="AT1175" t="str">
        <f t="shared" si="229"/>
        <v>9791137602663</v>
      </c>
      <c r="AV1175" t="str">
        <f t="shared" si="230"/>
        <v>판타지 웹소설 &gt; 퓨전 판타지</v>
      </c>
    </row>
    <row r="1176" spans="1:48" x14ac:dyDescent="0.4">
      <c r="A1176">
        <v>2313012849</v>
      </c>
      <c r="B1176">
        <v>2313013045</v>
      </c>
      <c r="C1176" t="str">
        <f>T("디버프 마스터 197화")</f>
        <v>디버프 마스터 197화</v>
      </c>
      <c r="D1176" t="str">
        <f>T("197")</f>
        <v>197</v>
      </c>
      <c r="E1176" t="str">
        <f t="shared" si="227"/>
        <v>담화공</v>
      </c>
      <c r="H1176" t="str">
        <f t="shared" si="231"/>
        <v>스토리위즈</v>
      </c>
      <c r="I1176" t="str">
        <f t="shared" si="228"/>
        <v>디버프 마스터</v>
      </c>
      <c r="J1176">
        <v>100</v>
      </c>
      <c r="K1176">
        <v>800</v>
      </c>
      <c r="L1176">
        <v>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800</v>
      </c>
      <c r="AH1176">
        <v>8</v>
      </c>
      <c r="AI1176">
        <v>0</v>
      </c>
      <c r="AJ1176">
        <v>0</v>
      </c>
      <c r="AK1176">
        <v>700</v>
      </c>
      <c r="AL1176">
        <v>0</v>
      </c>
      <c r="AM1176">
        <v>119.05</v>
      </c>
      <c r="AN1176">
        <v>-35.72</v>
      </c>
      <c r="AO1176">
        <v>0</v>
      </c>
      <c r="AP1176">
        <v>548.33000000000004</v>
      </c>
      <c r="AT1176" t="str">
        <f t="shared" si="229"/>
        <v>9791137602663</v>
      </c>
      <c r="AV1176" t="str">
        <f t="shared" si="230"/>
        <v>판타지 웹소설 &gt; 퓨전 판타지</v>
      </c>
    </row>
    <row r="1177" spans="1:48" x14ac:dyDescent="0.4">
      <c r="A1177">
        <v>2313012849</v>
      </c>
      <c r="B1177">
        <v>2313013047</v>
      </c>
      <c r="C1177" t="str">
        <f>T("디버프 마스터 199화")</f>
        <v>디버프 마스터 199화</v>
      </c>
      <c r="D1177" t="str">
        <f>T("199")</f>
        <v>199</v>
      </c>
      <c r="E1177" t="str">
        <f t="shared" si="227"/>
        <v>담화공</v>
      </c>
      <c r="H1177" t="str">
        <f t="shared" si="231"/>
        <v>스토리위즈</v>
      </c>
      <c r="I1177" t="str">
        <f t="shared" si="228"/>
        <v>디버프 마스터</v>
      </c>
      <c r="J1177">
        <v>100</v>
      </c>
      <c r="K1177">
        <v>800</v>
      </c>
      <c r="L1177">
        <v>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800</v>
      </c>
      <c r="AH1177">
        <v>8</v>
      </c>
      <c r="AI1177">
        <v>0</v>
      </c>
      <c r="AJ1177">
        <v>0</v>
      </c>
      <c r="AK1177">
        <v>700</v>
      </c>
      <c r="AL1177">
        <v>0</v>
      </c>
      <c r="AM1177">
        <v>119.05</v>
      </c>
      <c r="AN1177">
        <v>-35.72</v>
      </c>
      <c r="AO1177">
        <v>0</v>
      </c>
      <c r="AP1177">
        <v>548.33000000000004</v>
      </c>
      <c r="AT1177" t="str">
        <f t="shared" si="229"/>
        <v>9791137602663</v>
      </c>
      <c r="AV1177" t="str">
        <f t="shared" si="230"/>
        <v>판타지 웹소설 &gt; 퓨전 판타지</v>
      </c>
    </row>
    <row r="1178" spans="1:48" x14ac:dyDescent="0.4">
      <c r="A1178">
        <v>2313017657</v>
      </c>
      <c r="B1178">
        <v>2313017800</v>
      </c>
      <c r="C1178" t="str">
        <f>T("회귀자의 슬기로운 복수생활 144화")</f>
        <v>회귀자의 슬기로운 복수생활 144화</v>
      </c>
      <c r="D1178" t="str">
        <f>T("144")</f>
        <v>144</v>
      </c>
      <c r="E1178" t="str">
        <f>T("구공")</f>
        <v>구공</v>
      </c>
      <c r="H1178" t="str">
        <f t="shared" si="231"/>
        <v>스토리위즈</v>
      </c>
      <c r="I1178" t="str">
        <f>T("회귀자의 슬기로운 복수생활")</f>
        <v>회귀자의 슬기로운 복수생활</v>
      </c>
      <c r="J1178">
        <v>100</v>
      </c>
      <c r="K1178">
        <v>800</v>
      </c>
      <c r="L1178">
        <v>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800</v>
      </c>
      <c r="AH1178">
        <v>8</v>
      </c>
      <c r="AI1178">
        <v>0</v>
      </c>
      <c r="AJ1178">
        <v>0</v>
      </c>
      <c r="AK1178">
        <v>800</v>
      </c>
      <c r="AL1178">
        <v>0</v>
      </c>
      <c r="AM1178">
        <v>0</v>
      </c>
      <c r="AN1178">
        <v>0</v>
      </c>
      <c r="AO1178">
        <v>0</v>
      </c>
      <c r="AP1178">
        <v>560</v>
      </c>
      <c r="AT1178" t="str">
        <f>T("9791137601710")</f>
        <v>9791137601710</v>
      </c>
      <c r="AV1178" t="str">
        <f t="shared" si="230"/>
        <v>판타지 웹소설 &gt; 퓨전 판타지</v>
      </c>
    </row>
    <row r="1179" spans="1:48" x14ac:dyDescent="0.4">
      <c r="A1179">
        <v>2313011400</v>
      </c>
      <c r="B1179">
        <v>2313011422</v>
      </c>
      <c r="C1179" t="str">
        <f>T("최종 보스 2권 1화")</f>
        <v>최종 보스 2권 1화</v>
      </c>
      <c r="D1179" t="str">
        <f>T("23")</f>
        <v>23</v>
      </c>
      <c r="E1179" t="str">
        <f t="shared" ref="E1179:E1203" si="232">T("무장")</f>
        <v>무장</v>
      </c>
      <c r="H1179" t="str">
        <f t="shared" si="231"/>
        <v>스토리위즈</v>
      </c>
      <c r="I1179" t="str">
        <f>T("최종 보스 : 빛을 향해 달리는 그림자")</f>
        <v>최종 보스 : 빛을 향해 달리는 그림자</v>
      </c>
      <c r="J1179">
        <v>100</v>
      </c>
      <c r="K1179">
        <v>700</v>
      </c>
      <c r="L1179">
        <v>7</v>
      </c>
      <c r="M1179">
        <v>0</v>
      </c>
      <c r="N1179">
        <v>200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900</v>
      </c>
      <c r="AH1179">
        <v>9</v>
      </c>
      <c r="AI1179">
        <v>0</v>
      </c>
      <c r="AJ1179">
        <v>0</v>
      </c>
      <c r="AK1179">
        <v>900</v>
      </c>
      <c r="AL1179">
        <v>0</v>
      </c>
      <c r="AM1179">
        <v>0</v>
      </c>
      <c r="AN1179">
        <v>0</v>
      </c>
      <c r="AO1179">
        <v>0</v>
      </c>
      <c r="AP1179">
        <v>630</v>
      </c>
      <c r="AT1179" t="str">
        <f>T("9791166067563")</f>
        <v>9791166067563</v>
      </c>
      <c r="AV1179" t="str">
        <f t="shared" ref="AV1179:AV1203" si="233">T("판타지 웹소설 &gt; 현대 판타지")</f>
        <v>판타지 웹소설 &gt; 현대 판타지</v>
      </c>
    </row>
    <row r="1180" spans="1:48" x14ac:dyDescent="0.4">
      <c r="A1180">
        <v>2313011400</v>
      </c>
      <c r="B1180">
        <v>2313011433</v>
      </c>
      <c r="C1180" t="str">
        <f>T("최종 보스 2권 12화")</f>
        <v>최종 보스 2권 12화</v>
      </c>
      <c r="D1180" t="str">
        <f>T("34")</f>
        <v>34</v>
      </c>
      <c r="E1180" t="str">
        <f t="shared" si="232"/>
        <v>무장</v>
      </c>
      <c r="H1180" t="str">
        <f t="shared" si="231"/>
        <v>스토리위즈</v>
      </c>
      <c r="I1180" t="str">
        <f>T("최종 보스 : 빛을 향해 달리는 그림자")</f>
        <v>최종 보스 : 빛을 향해 달리는 그림자</v>
      </c>
      <c r="J1180">
        <v>100</v>
      </c>
      <c r="K1180">
        <v>700</v>
      </c>
      <c r="L1180">
        <v>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700</v>
      </c>
      <c r="AH1180">
        <v>7</v>
      </c>
      <c r="AI1180">
        <v>0</v>
      </c>
      <c r="AJ1180">
        <v>0</v>
      </c>
      <c r="AK1180">
        <v>700</v>
      </c>
      <c r="AL1180">
        <v>0</v>
      </c>
      <c r="AM1180">
        <v>0</v>
      </c>
      <c r="AN1180">
        <v>0</v>
      </c>
      <c r="AO1180">
        <v>0</v>
      </c>
      <c r="AP1180">
        <v>490</v>
      </c>
      <c r="AT1180" t="str">
        <f>T("9791166067563")</f>
        <v>9791166067563</v>
      </c>
      <c r="AV1180" t="str">
        <f t="shared" si="233"/>
        <v>판타지 웹소설 &gt; 현대 판타지</v>
      </c>
    </row>
    <row r="1181" spans="1:48" x14ac:dyDescent="0.4">
      <c r="A1181">
        <v>2313011400</v>
      </c>
      <c r="B1181">
        <v>2313011434</v>
      </c>
      <c r="C1181" t="str">
        <f>T("최종 보스 2권 13화")</f>
        <v>최종 보스 2권 13화</v>
      </c>
      <c r="D1181" t="str">
        <f>T("35")</f>
        <v>35</v>
      </c>
      <c r="E1181" t="str">
        <f t="shared" si="232"/>
        <v>무장</v>
      </c>
      <c r="H1181" t="str">
        <f t="shared" si="231"/>
        <v>스토리위즈</v>
      </c>
      <c r="I1181" t="str">
        <f>T("최종 보스 : 빛을 향해 달리는 그림자")</f>
        <v>최종 보스 : 빛을 향해 달리는 그림자</v>
      </c>
      <c r="J1181">
        <v>100</v>
      </c>
      <c r="K1181">
        <v>700</v>
      </c>
      <c r="L1181">
        <v>7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700</v>
      </c>
      <c r="AH1181">
        <v>7</v>
      </c>
      <c r="AI1181">
        <v>0</v>
      </c>
      <c r="AJ1181">
        <v>0</v>
      </c>
      <c r="AK1181">
        <v>700</v>
      </c>
      <c r="AL1181">
        <v>0</v>
      </c>
      <c r="AM1181">
        <v>0</v>
      </c>
      <c r="AN1181">
        <v>0</v>
      </c>
      <c r="AO1181">
        <v>0</v>
      </c>
      <c r="AP1181">
        <v>490</v>
      </c>
      <c r="AT1181" t="str">
        <f>T("9791166067563")</f>
        <v>9791166067563</v>
      </c>
      <c r="AV1181" t="str">
        <f t="shared" si="233"/>
        <v>판타지 웹소설 &gt; 현대 판타지</v>
      </c>
    </row>
    <row r="1182" spans="1:48" x14ac:dyDescent="0.4">
      <c r="A1182">
        <v>2313011955</v>
      </c>
      <c r="B1182">
        <v>2313011988</v>
      </c>
      <c r="C1182" t="str">
        <f>T("갓 오브 블랙필드 34화")</f>
        <v>갓 오브 블랙필드 34화</v>
      </c>
      <c r="D1182" t="str">
        <f>T("34")</f>
        <v>34</v>
      </c>
      <c r="E1182" t="str">
        <f t="shared" si="232"/>
        <v>무장</v>
      </c>
      <c r="H1182" t="str">
        <f t="shared" si="231"/>
        <v>스토리위즈</v>
      </c>
      <c r="I1182" t="str">
        <f t="shared" ref="I1182:I1203" si="234">T("갓 오브 블랙필드")</f>
        <v>갓 오브 블랙필드</v>
      </c>
      <c r="J1182">
        <v>100</v>
      </c>
      <c r="K1182">
        <v>700</v>
      </c>
      <c r="L1182">
        <v>7</v>
      </c>
      <c r="M1182">
        <v>0</v>
      </c>
      <c r="N1182">
        <v>0</v>
      </c>
      <c r="O1182">
        <v>0</v>
      </c>
      <c r="P1182">
        <v>41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700</v>
      </c>
      <c r="AH1182">
        <v>48</v>
      </c>
      <c r="AI1182">
        <v>0</v>
      </c>
      <c r="AJ1182">
        <v>0</v>
      </c>
      <c r="AK1182">
        <v>700</v>
      </c>
      <c r="AL1182">
        <v>0</v>
      </c>
      <c r="AM1182">
        <v>0</v>
      </c>
      <c r="AN1182">
        <v>0</v>
      </c>
      <c r="AO1182">
        <v>0</v>
      </c>
      <c r="AP1182">
        <v>490</v>
      </c>
      <c r="AT1182" t="str">
        <f t="shared" ref="AT1182:AT1203" si="235">T("9791137602113")</f>
        <v>9791137602113</v>
      </c>
      <c r="AV1182" t="str">
        <f t="shared" si="233"/>
        <v>판타지 웹소설 &gt; 현대 판타지</v>
      </c>
    </row>
    <row r="1183" spans="1:48" x14ac:dyDescent="0.4">
      <c r="A1183">
        <v>2313011955</v>
      </c>
      <c r="B1183">
        <v>2313011989</v>
      </c>
      <c r="C1183" t="str">
        <f>T("갓 오브 블랙필드 35화")</f>
        <v>갓 오브 블랙필드 35화</v>
      </c>
      <c r="D1183" t="str">
        <f>T("35")</f>
        <v>35</v>
      </c>
      <c r="E1183" t="str">
        <f t="shared" si="232"/>
        <v>무장</v>
      </c>
      <c r="H1183" t="str">
        <f t="shared" si="231"/>
        <v>스토리위즈</v>
      </c>
      <c r="I1183" t="str">
        <f t="shared" si="234"/>
        <v>갓 오브 블랙필드</v>
      </c>
      <c r="J1183">
        <v>100</v>
      </c>
      <c r="K1183">
        <v>700</v>
      </c>
      <c r="L1183">
        <v>7</v>
      </c>
      <c r="M1183">
        <v>0</v>
      </c>
      <c r="N1183">
        <v>0</v>
      </c>
      <c r="O1183">
        <v>0</v>
      </c>
      <c r="P1183">
        <v>40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700</v>
      </c>
      <c r="AH1183">
        <v>47</v>
      </c>
      <c r="AI1183">
        <v>0</v>
      </c>
      <c r="AJ1183">
        <v>0</v>
      </c>
      <c r="AK1183">
        <v>700</v>
      </c>
      <c r="AL1183">
        <v>0</v>
      </c>
      <c r="AM1183">
        <v>0</v>
      </c>
      <c r="AN1183">
        <v>0</v>
      </c>
      <c r="AO1183">
        <v>0</v>
      </c>
      <c r="AP1183">
        <v>490</v>
      </c>
      <c r="AT1183" t="str">
        <f t="shared" si="235"/>
        <v>9791137602113</v>
      </c>
      <c r="AV1183" t="str">
        <f t="shared" si="233"/>
        <v>판타지 웹소설 &gt; 현대 판타지</v>
      </c>
    </row>
    <row r="1184" spans="1:48" x14ac:dyDescent="0.4">
      <c r="A1184">
        <v>2313011955</v>
      </c>
      <c r="B1184">
        <v>2313011990</v>
      </c>
      <c r="C1184" t="str">
        <f>T("갓 오브 블랙필드 36화")</f>
        <v>갓 오브 블랙필드 36화</v>
      </c>
      <c r="D1184" t="str">
        <f>T("36")</f>
        <v>36</v>
      </c>
      <c r="E1184" t="str">
        <f t="shared" si="232"/>
        <v>무장</v>
      </c>
      <c r="H1184" t="str">
        <f t="shared" si="231"/>
        <v>스토리위즈</v>
      </c>
      <c r="I1184" t="str">
        <f t="shared" si="234"/>
        <v>갓 오브 블랙필드</v>
      </c>
      <c r="J1184">
        <v>100</v>
      </c>
      <c r="K1184">
        <v>700</v>
      </c>
      <c r="L1184">
        <v>7</v>
      </c>
      <c r="M1184">
        <v>0</v>
      </c>
      <c r="N1184">
        <v>0</v>
      </c>
      <c r="O1184">
        <v>0</v>
      </c>
      <c r="P1184">
        <v>40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700</v>
      </c>
      <c r="AH1184">
        <v>47</v>
      </c>
      <c r="AI1184">
        <v>0</v>
      </c>
      <c r="AJ1184">
        <v>0</v>
      </c>
      <c r="AK1184">
        <v>700</v>
      </c>
      <c r="AL1184">
        <v>0</v>
      </c>
      <c r="AM1184">
        <v>0</v>
      </c>
      <c r="AN1184">
        <v>0</v>
      </c>
      <c r="AO1184">
        <v>0</v>
      </c>
      <c r="AP1184">
        <v>490</v>
      </c>
      <c r="AT1184" t="str">
        <f t="shared" si="235"/>
        <v>9791137602113</v>
      </c>
      <c r="AV1184" t="str">
        <f t="shared" si="233"/>
        <v>판타지 웹소설 &gt; 현대 판타지</v>
      </c>
    </row>
    <row r="1185" spans="1:48" x14ac:dyDescent="0.4">
      <c r="A1185">
        <v>2313011955</v>
      </c>
      <c r="B1185">
        <v>2313012162</v>
      </c>
      <c r="C1185" t="str">
        <f>T("갓 오브 블랙필드 208화")</f>
        <v>갓 오브 블랙필드 208화</v>
      </c>
      <c r="D1185" t="str">
        <f>T("208")</f>
        <v>208</v>
      </c>
      <c r="E1185" t="str">
        <f t="shared" si="232"/>
        <v>무장</v>
      </c>
      <c r="H1185" t="str">
        <f t="shared" si="231"/>
        <v>스토리위즈</v>
      </c>
      <c r="I1185" t="str">
        <f t="shared" si="234"/>
        <v>갓 오브 블랙필드</v>
      </c>
      <c r="J1185">
        <v>100</v>
      </c>
      <c r="K1185">
        <v>700</v>
      </c>
      <c r="L1185">
        <v>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700</v>
      </c>
      <c r="AH1185">
        <v>7</v>
      </c>
      <c r="AI1185">
        <v>0</v>
      </c>
      <c r="AJ1185">
        <v>0</v>
      </c>
      <c r="AK1185">
        <v>600</v>
      </c>
      <c r="AL1185">
        <v>0</v>
      </c>
      <c r="AM1185">
        <v>120</v>
      </c>
      <c r="AN1185">
        <v>-36</v>
      </c>
      <c r="AO1185">
        <v>0</v>
      </c>
      <c r="AP1185">
        <v>478.8</v>
      </c>
      <c r="AT1185" t="str">
        <f t="shared" si="235"/>
        <v>9791137602113</v>
      </c>
      <c r="AV1185" t="str">
        <f t="shared" si="233"/>
        <v>판타지 웹소설 &gt; 현대 판타지</v>
      </c>
    </row>
    <row r="1186" spans="1:48" x14ac:dyDescent="0.4">
      <c r="A1186">
        <v>2313011955</v>
      </c>
      <c r="B1186">
        <v>2313012165</v>
      </c>
      <c r="C1186" t="str">
        <f>T("갓 오브 블랙필드 211화")</f>
        <v>갓 오브 블랙필드 211화</v>
      </c>
      <c r="D1186" t="str">
        <f>T("211")</f>
        <v>211</v>
      </c>
      <c r="E1186" t="str">
        <f t="shared" si="232"/>
        <v>무장</v>
      </c>
      <c r="H1186" t="str">
        <f t="shared" si="231"/>
        <v>스토리위즈</v>
      </c>
      <c r="I1186" t="str">
        <f t="shared" si="234"/>
        <v>갓 오브 블랙필드</v>
      </c>
      <c r="J1186">
        <v>100</v>
      </c>
      <c r="K1186">
        <v>700</v>
      </c>
      <c r="L1186">
        <v>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700</v>
      </c>
      <c r="AH1186">
        <v>7</v>
      </c>
      <c r="AI1186">
        <v>0</v>
      </c>
      <c r="AJ1186">
        <v>0</v>
      </c>
      <c r="AK1186">
        <v>600</v>
      </c>
      <c r="AL1186">
        <v>0</v>
      </c>
      <c r="AM1186">
        <v>120</v>
      </c>
      <c r="AN1186">
        <v>-36</v>
      </c>
      <c r="AO1186">
        <v>0</v>
      </c>
      <c r="AP1186">
        <v>478.8</v>
      </c>
      <c r="AT1186" t="str">
        <f t="shared" si="235"/>
        <v>9791137602113</v>
      </c>
      <c r="AV1186" t="str">
        <f t="shared" si="233"/>
        <v>판타지 웹소설 &gt; 현대 판타지</v>
      </c>
    </row>
    <row r="1187" spans="1:48" x14ac:dyDescent="0.4">
      <c r="A1187">
        <v>2313011955</v>
      </c>
      <c r="B1187">
        <v>2313012173</v>
      </c>
      <c r="C1187" t="str">
        <f>T("갓 오브 블랙필드 219화")</f>
        <v>갓 오브 블랙필드 219화</v>
      </c>
      <c r="D1187" t="str">
        <f>T("219")</f>
        <v>219</v>
      </c>
      <c r="E1187" t="str">
        <f t="shared" si="232"/>
        <v>무장</v>
      </c>
      <c r="H1187" t="str">
        <f t="shared" si="231"/>
        <v>스토리위즈</v>
      </c>
      <c r="I1187" t="str">
        <f t="shared" si="234"/>
        <v>갓 오브 블랙필드</v>
      </c>
      <c r="J1187">
        <v>100</v>
      </c>
      <c r="K1187">
        <v>700</v>
      </c>
      <c r="L1187">
        <v>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700</v>
      </c>
      <c r="AH1187">
        <v>7</v>
      </c>
      <c r="AI1187">
        <v>0</v>
      </c>
      <c r="AJ1187">
        <v>0</v>
      </c>
      <c r="AK1187">
        <v>600</v>
      </c>
      <c r="AL1187">
        <v>0</v>
      </c>
      <c r="AM1187">
        <v>120</v>
      </c>
      <c r="AN1187">
        <v>-36</v>
      </c>
      <c r="AO1187">
        <v>0</v>
      </c>
      <c r="AP1187">
        <v>478.8</v>
      </c>
      <c r="AT1187" t="str">
        <f t="shared" si="235"/>
        <v>9791137602113</v>
      </c>
      <c r="AV1187" t="str">
        <f t="shared" si="233"/>
        <v>판타지 웹소설 &gt; 현대 판타지</v>
      </c>
    </row>
    <row r="1188" spans="1:48" x14ac:dyDescent="0.4">
      <c r="A1188">
        <v>2313011955</v>
      </c>
      <c r="B1188">
        <v>2313012174</v>
      </c>
      <c r="C1188" t="str">
        <f>T("갓 오브 블랙필드 220화")</f>
        <v>갓 오브 블랙필드 220화</v>
      </c>
      <c r="D1188" t="str">
        <f>T("220")</f>
        <v>220</v>
      </c>
      <c r="E1188" t="str">
        <f t="shared" si="232"/>
        <v>무장</v>
      </c>
      <c r="H1188" t="str">
        <f t="shared" si="231"/>
        <v>스토리위즈</v>
      </c>
      <c r="I1188" t="str">
        <f t="shared" si="234"/>
        <v>갓 오브 블랙필드</v>
      </c>
      <c r="J1188">
        <v>100</v>
      </c>
      <c r="K1188">
        <v>700</v>
      </c>
      <c r="L1188">
        <v>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700</v>
      </c>
      <c r="AH1188">
        <v>7</v>
      </c>
      <c r="AI1188">
        <v>0</v>
      </c>
      <c r="AJ1188">
        <v>0</v>
      </c>
      <c r="AK1188">
        <v>600</v>
      </c>
      <c r="AL1188">
        <v>0</v>
      </c>
      <c r="AM1188">
        <v>120</v>
      </c>
      <c r="AN1188">
        <v>-36</v>
      </c>
      <c r="AO1188">
        <v>0</v>
      </c>
      <c r="AP1188">
        <v>478.8</v>
      </c>
      <c r="AT1188" t="str">
        <f t="shared" si="235"/>
        <v>9791137602113</v>
      </c>
      <c r="AV1188" t="str">
        <f t="shared" si="233"/>
        <v>판타지 웹소설 &gt; 현대 판타지</v>
      </c>
    </row>
    <row r="1189" spans="1:48" x14ac:dyDescent="0.4">
      <c r="A1189">
        <v>2313011955</v>
      </c>
      <c r="B1189">
        <v>2313012175</v>
      </c>
      <c r="C1189" t="str">
        <f>T("갓 오브 블랙필드 221화")</f>
        <v>갓 오브 블랙필드 221화</v>
      </c>
      <c r="D1189" t="str">
        <f>T("221")</f>
        <v>221</v>
      </c>
      <c r="E1189" t="str">
        <f t="shared" si="232"/>
        <v>무장</v>
      </c>
      <c r="H1189" t="str">
        <f t="shared" si="231"/>
        <v>스토리위즈</v>
      </c>
      <c r="I1189" t="str">
        <f t="shared" si="234"/>
        <v>갓 오브 블랙필드</v>
      </c>
      <c r="J1189">
        <v>100</v>
      </c>
      <c r="K1189">
        <v>700</v>
      </c>
      <c r="L1189">
        <v>7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700</v>
      </c>
      <c r="AH1189">
        <v>7</v>
      </c>
      <c r="AI1189">
        <v>0</v>
      </c>
      <c r="AJ1189">
        <v>0</v>
      </c>
      <c r="AK1189">
        <v>600</v>
      </c>
      <c r="AL1189">
        <v>0</v>
      </c>
      <c r="AM1189">
        <v>120</v>
      </c>
      <c r="AN1189">
        <v>-36</v>
      </c>
      <c r="AO1189">
        <v>0</v>
      </c>
      <c r="AP1189">
        <v>478.8</v>
      </c>
      <c r="AT1189" t="str">
        <f t="shared" si="235"/>
        <v>9791137602113</v>
      </c>
      <c r="AV1189" t="str">
        <f t="shared" si="233"/>
        <v>판타지 웹소설 &gt; 현대 판타지</v>
      </c>
    </row>
    <row r="1190" spans="1:48" x14ac:dyDescent="0.4">
      <c r="A1190">
        <v>2313011955</v>
      </c>
      <c r="B1190">
        <v>2313012176</v>
      </c>
      <c r="C1190" t="str">
        <f>T("갓 오브 블랙필드 222화")</f>
        <v>갓 오브 블랙필드 222화</v>
      </c>
      <c r="D1190" t="str">
        <f>T("222")</f>
        <v>222</v>
      </c>
      <c r="E1190" t="str">
        <f t="shared" si="232"/>
        <v>무장</v>
      </c>
      <c r="H1190" t="str">
        <f t="shared" si="231"/>
        <v>스토리위즈</v>
      </c>
      <c r="I1190" t="str">
        <f t="shared" si="234"/>
        <v>갓 오브 블랙필드</v>
      </c>
      <c r="J1190">
        <v>100</v>
      </c>
      <c r="K1190">
        <v>700</v>
      </c>
      <c r="L1190">
        <v>7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700</v>
      </c>
      <c r="AH1190">
        <v>7</v>
      </c>
      <c r="AI1190">
        <v>0</v>
      </c>
      <c r="AJ1190">
        <v>0</v>
      </c>
      <c r="AK1190">
        <v>600</v>
      </c>
      <c r="AL1190">
        <v>0</v>
      </c>
      <c r="AM1190">
        <v>120</v>
      </c>
      <c r="AN1190">
        <v>-36</v>
      </c>
      <c r="AO1190">
        <v>0</v>
      </c>
      <c r="AP1190">
        <v>478.8</v>
      </c>
      <c r="AT1190" t="str">
        <f t="shared" si="235"/>
        <v>9791137602113</v>
      </c>
      <c r="AV1190" t="str">
        <f t="shared" si="233"/>
        <v>판타지 웹소설 &gt; 현대 판타지</v>
      </c>
    </row>
    <row r="1191" spans="1:48" x14ac:dyDescent="0.4">
      <c r="A1191">
        <v>2313011955</v>
      </c>
      <c r="B1191">
        <v>2313012186</v>
      </c>
      <c r="C1191" t="str">
        <f>T("갓 오브 블랙필드 232화")</f>
        <v>갓 오브 블랙필드 232화</v>
      </c>
      <c r="D1191" t="str">
        <f>T("232")</f>
        <v>232</v>
      </c>
      <c r="E1191" t="str">
        <f t="shared" si="232"/>
        <v>무장</v>
      </c>
      <c r="H1191" t="str">
        <f t="shared" si="231"/>
        <v>스토리위즈</v>
      </c>
      <c r="I1191" t="str">
        <f t="shared" si="234"/>
        <v>갓 오브 블랙필드</v>
      </c>
      <c r="J1191">
        <v>100</v>
      </c>
      <c r="K1191">
        <v>700</v>
      </c>
      <c r="L1191">
        <v>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700</v>
      </c>
      <c r="AH1191">
        <v>7</v>
      </c>
      <c r="AI1191">
        <v>0</v>
      </c>
      <c r="AJ1191">
        <v>0</v>
      </c>
      <c r="AK1191">
        <v>600</v>
      </c>
      <c r="AL1191">
        <v>0</v>
      </c>
      <c r="AM1191">
        <v>120</v>
      </c>
      <c r="AN1191">
        <v>-36</v>
      </c>
      <c r="AO1191">
        <v>0</v>
      </c>
      <c r="AP1191">
        <v>478.8</v>
      </c>
      <c r="AT1191" t="str">
        <f t="shared" si="235"/>
        <v>9791137602113</v>
      </c>
      <c r="AV1191" t="str">
        <f t="shared" si="233"/>
        <v>판타지 웹소설 &gt; 현대 판타지</v>
      </c>
    </row>
    <row r="1192" spans="1:48" x14ac:dyDescent="0.4">
      <c r="A1192">
        <v>2313011955</v>
      </c>
      <c r="B1192">
        <v>2313012187</v>
      </c>
      <c r="C1192" t="str">
        <f>T("갓 오브 블랙필드 233화")</f>
        <v>갓 오브 블랙필드 233화</v>
      </c>
      <c r="D1192" t="str">
        <f>T("233")</f>
        <v>233</v>
      </c>
      <c r="E1192" t="str">
        <f t="shared" si="232"/>
        <v>무장</v>
      </c>
      <c r="H1192" t="str">
        <f t="shared" si="231"/>
        <v>스토리위즈</v>
      </c>
      <c r="I1192" t="str">
        <f t="shared" si="234"/>
        <v>갓 오브 블랙필드</v>
      </c>
      <c r="J1192">
        <v>100</v>
      </c>
      <c r="K1192">
        <v>700</v>
      </c>
      <c r="L1192">
        <v>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700</v>
      </c>
      <c r="AH1192">
        <v>7</v>
      </c>
      <c r="AI1192">
        <v>0</v>
      </c>
      <c r="AJ1192">
        <v>0</v>
      </c>
      <c r="AK1192">
        <v>600</v>
      </c>
      <c r="AL1192">
        <v>0</v>
      </c>
      <c r="AM1192">
        <v>120</v>
      </c>
      <c r="AN1192">
        <v>-36</v>
      </c>
      <c r="AO1192">
        <v>0</v>
      </c>
      <c r="AP1192">
        <v>478.8</v>
      </c>
      <c r="AT1192" t="str">
        <f t="shared" si="235"/>
        <v>9791137602113</v>
      </c>
      <c r="AV1192" t="str">
        <f t="shared" si="233"/>
        <v>판타지 웹소설 &gt; 현대 판타지</v>
      </c>
    </row>
    <row r="1193" spans="1:48" x14ac:dyDescent="0.4">
      <c r="A1193">
        <v>2313011955</v>
      </c>
      <c r="B1193">
        <v>2313012188</v>
      </c>
      <c r="C1193" t="str">
        <f>T("갓 오브 블랙필드 234화")</f>
        <v>갓 오브 블랙필드 234화</v>
      </c>
      <c r="D1193" t="str">
        <f>T("234")</f>
        <v>234</v>
      </c>
      <c r="E1193" t="str">
        <f t="shared" si="232"/>
        <v>무장</v>
      </c>
      <c r="H1193" t="str">
        <f t="shared" si="231"/>
        <v>스토리위즈</v>
      </c>
      <c r="I1193" t="str">
        <f t="shared" si="234"/>
        <v>갓 오브 블랙필드</v>
      </c>
      <c r="J1193">
        <v>100</v>
      </c>
      <c r="K1193">
        <v>700</v>
      </c>
      <c r="L1193">
        <v>7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700</v>
      </c>
      <c r="AH1193">
        <v>7</v>
      </c>
      <c r="AI1193">
        <v>0</v>
      </c>
      <c r="AJ1193">
        <v>0</v>
      </c>
      <c r="AK1193">
        <v>600</v>
      </c>
      <c r="AL1193">
        <v>0</v>
      </c>
      <c r="AM1193">
        <v>120</v>
      </c>
      <c r="AN1193">
        <v>-36</v>
      </c>
      <c r="AO1193">
        <v>0</v>
      </c>
      <c r="AP1193">
        <v>478.8</v>
      </c>
      <c r="AT1193" t="str">
        <f t="shared" si="235"/>
        <v>9791137602113</v>
      </c>
      <c r="AV1193" t="str">
        <f t="shared" si="233"/>
        <v>판타지 웹소설 &gt; 현대 판타지</v>
      </c>
    </row>
    <row r="1194" spans="1:48" x14ac:dyDescent="0.4">
      <c r="A1194">
        <v>2313011955</v>
      </c>
      <c r="B1194">
        <v>2313012189</v>
      </c>
      <c r="C1194" t="str">
        <f>T("갓 오브 블랙필드 235화")</f>
        <v>갓 오브 블랙필드 235화</v>
      </c>
      <c r="D1194" t="str">
        <f>T("235")</f>
        <v>235</v>
      </c>
      <c r="E1194" t="str">
        <f t="shared" si="232"/>
        <v>무장</v>
      </c>
      <c r="H1194" t="str">
        <f t="shared" si="231"/>
        <v>스토리위즈</v>
      </c>
      <c r="I1194" t="str">
        <f t="shared" si="234"/>
        <v>갓 오브 블랙필드</v>
      </c>
      <c r="J1194">
        <v>100</v>
      </c>
      <c r="K1194">
        <v>700</v>
      </c>
      <c r="L1194">
        <v>7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700</v>
      </c>
      <c r="AH1194">
        <v>7</v>
      </c>
      <c r="AI1194">
        <v>0</v>
      </c>
      <c r="AJ1194">
        <v>0</v>
      </c>
      <c r="AK1194">
        <v>600</v>
      </c>
      <c r="AL1194">
        <v>0</v>
      </c>
      <c r="AM1194">
        <v>120</v>
      </c>
      <c r="AN1194">
        <v>-36</v>
      </c>
      <c r="AO1194">
        <v>0</v>
      </c>
      <c r="AP1194">
        <v>478.8</v>
      </c>
      <c r="AT1194" t="str">
        <f t="shared" si="235"/>
        <v>9791137602113</v>
      </c>
      <c r="AV1194" t="str">
        <f t="shared" si="233"/>
        <v>판타지 웹소설 &gt; 현대 판타지</v>
      </c>
    </row>
    <row r="1195" spans="1:48" x14ac:dyDescent="0.4">
      <c r="A1195">
        <v>2313011955</v>
      </c>
      <c r="B1195">
        <v>2313012190</v>
      </c>
      <c r="C1195" t="str">
        <f>T("갓 오브 블랙필드 236화")</f>
        <v>갓 오브 블랙필드 236화</v>
      </c>
      <c r="D1195" t="str">
        <f>T("236")</f>
        <v>236</v>
      </c>
      <c r="E1195" t="str">
        <f t="shared" si="232"/>
        <v>무장</v>
      </c>
      <c r="H1195" t="str">
        <f t="shared" si="231"/>
        <v>스토리위즈</v>
      </c>
      <c r="I1195" t="str">
        <f t="shared" si="234"/>
        <v>갓 오브 블랙필드</v>
      </c>
      <c r="J1195">
        <v>100</v>
      </c>
      <c r="K1195">
        <v>700</v>
      </c>
      <c r="L1195">
        <v>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700</v>
      </c>
      <c r="AH1195">
        <v>7</v>
      </c>
      <c r="AI1195">
        <v>0</v>
      </c>
      <c r="AJ1195">
        <v>0</v>
      </c>
      <c r="AK1195">
        <v>600</v>
      </c>
      <c r="AL1195">
        <v>0</v>
      </c>
      <c r="AM1195">
        <v>120</v>
      </c>
      <c r="AN1195">
        <v>-36</v>
      </c>
      <c r="AO1195">
        <v>0</v>
      </c>
      <c r="AP1195">
        <v>478.8</v>
      </c>
      <c r="AT1195" t="str">
        <f t="shared" si="235"/>
        <v>9791137602113</v>
      </c>
      <c r="AV1195" t="str">
        <f t="shared" si="233"/>
        <v>판타지 웹소설 &gt; 현대 판타지</v>
      </c>
    </row>
    <row r="1196" spans="1:48" x14ac:dyDescent="0.4">
      <c r="A1196">
        <v>2313011955</v>
      </c>
      <c r="B1196">
        <v>2313012191</v>
      </c>
      <c r="C1196" t="str">
        <f>T("갓 오브 블랙필드 237화")</f>
        <v>갓 오브 블랙필드 237화</v>
      </c>
      <c r="D1196" t="str">
        <f>T("237")</f>
        <v>237</v>
      </c>
      <c r="E1196" t="str">
        <f t="shared" si="232"/>
        <v>무장</v>
      </c>
      <c r="H1196" t="str">
        <f t="shared" si="231"/>
        <v>스토리위즈</v>
      </c>
      <c r="I1196" t="str">
        <f t="shared" si="234"/>
        <v>갓 오브 블랙필드</v>
      </c>
      <c r="J1196">
        <v>100</v>
      </c>
      <c r="K1196">
        <v>700</v>
      </c>
      <c r="L1196">
        <v>7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700</v>
      </c>
      <c r="AH1196">
        <v>7</v>
      </c>
      <c r="AI1196">
        <v>0</v>
      </c>
      <c r="AJ1196">
        <v>0</v>
      </c>
      <c r="AK1196">
        <v>600</v>
      </c>
      <c r="AL1196">
        <v>0</v>
      </c>
      <c r="AM1196">
        <v>120</v>
      </c>
      <c r="AN1196">
        <v>-36</v>
      </c>
      <c r="AO1196">
        <v>0</v>
      </c>
      <c r="AP1196">
        <v>478.8</v>
      </c>
      <c r="AT1196" t="str">
        <f t="shared" si="235"/>
        <v>9791137602113</v>
      </c>
      <c r="AV1196" t="str">
        <f t="shared" si="233"/>
        <v>판타지 웹소설 &gt; 현대 판타지</v>
      </c>
    </row>
    <row r="1197" spans="1:48" x14ac:dyDescent="0.4">
      <c r="A1197">
        <v>2313011955</v>
      </c>
      <c r="B1197">
        <v>2313012192</v>
      </c>
      <c r="C1197" t="str">
        <f>T("갓 오브 블랙필드 238화")</f>
        <v>갓 오브 블랙필드 238화</v>
      </c>
      <c r="D1197" t="str">
        <f>T("238")</f>
        <v>238</v>
      </c>
      <c r="E1197" t="str">
        <f t="shared" si="232"/>
        <v>무장</v>
      </c>
      <c r="H1197" t="str">
        <f t="shared" si="231"/>
        <v>스토리위즈</v>
      </c>
      <c r="I1197" t="str">
        <f t="shared" si="234"/>
        <v>갓 오브 블랙필드</v>
      </c>
      <c r="J1197">
        <v>100</v>
      </c>
      <c r="K1197">
        <v>700</v>
      </c>
      <c r="L1197">
        <v>7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700</v>
      </c>
      <c r="AH1197">
        <v>7</v>
      </c>
      <c r="AI1197">
        <v>0</v>
      </c>
      <c r="AJ1197">
        <v>0</v>
      </c>
      <c r="AK1197">
        <v>600</v>
      </c>
      <c r="AL1197">
        <v>0</v>
      </c>
      <c r="AM1197">
        <v>120</v>
      </c>
      <c r="AN1197">
        <v>-36</v>
      </c>
      <c r="AO1197">
        <v>0</v>
      </c>
      <c r="AP1197">
        <v>478.8</v>
      </c>
      <c r="AT1197" t="str">
        <f t="shared" si="235"/>
        <v>9791137602113</v>
      </c>
      <c r="AV1197" t="str">
        <f t="shared" si="233"/>
        <v>판타지 웹소설 &gt; 현대 판타지</v>
      </c>
    </row>
    <row r="1198" spans="1:48" x14ac:dyDescent="0.4">
      <c r="A1198">
        <v>2313011955</v>
      </c>
      <c r="B1198">
        <v>2313012193</v>
      </c>
      <c r="C1198" t="str">
        <f>T("갓 오브 블랙필드 239화")</f>
        <v>갓 오브 블랙필드 239화</v>
      </c>
      <c r="D1198" t="str">
        <f>T("239")</f>
        <v>239</v>
      </c>
      <c r="E1198" t="str">
        <f t="shared" si="232"/>
        <v>무장</v>
      </c>
      <c r="H1198" t="str">
        <f t="shared" si="231"/>
        <v>스토리위즈</v>
      </c>
      <c r="I1198" t="str">
        <f t="shared" si="234"/>
        <v>갓 오브 블랙필드</v>
      </c>
      <c r="J1198">
        <v>100</v>
      </c>
      <c r="K1198">
        <v>700</v>
      </c>
      <c r="L1198">
        <v>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700</v>
      </c>
      <c r="AH1198">
        <v>7</v>
      </c>
      <c r="AI1198">
        <v>0</v>
      </c>
      <c r="AJ1198">
        <v>0</v>
      </c>
      <c r="AK1198">
        <v>600</v>
      </c>
      <c r="AL1198">
        <v>0</v>
      </c>
      <c r="AM1198">
        <v>120</v>
      </c>
      <c r="AN1198">
        <v>-36</v>
      </c>
      <c r="AO1198">
        <v>0</v>
      </c>
      <c r="AP1198">
        <v>478.8</v>
      </c>
      <c r="AT1198" t="str">
        <f t="shared" si="235"/>
        <v>9791137602113</v>
      </c>
      <c r="AV1198" t="str">
        <f t="shared" si="233"/>
        <v>판타지 웹소설 &gt; 현대 판타지</v>
      </c>
    </row>
    <row r="1199" spans="1:48" x14ac:dyDescent="0.4">
      <c r="A1199">
        <v>2313011955</v>
      </c>
      <c r="B1199">
        <v>2313012194</v>
      </c>
      <c r="C1199" t="str">
        <f>T("갓 오브 블랙필드 240화")</f>
        <v>갓 오브 블랙필드 240화</v>
      </c>
      <c r="D1199" t="str">
        <f>T("240")</f>
        <v>240</v>
      </c>
      <c r="E1199" t="str">
        <f t="shared" si="232"/>
        <v>무장</v>
      </c>
      <c r="H1199" t="str">
        <f t="shared" si="231"/>
        <v>스토리위즈</v>
      </c>
      <c r="I1199" t="str">
        <f t="shared" si="234"/>
        <v>갓 오브 블랙필드</v>
      </c>
      <c r="J1199">
        <v>100</v>
      </c>
      <c r="K1199">
        <v>700</v>
      </c>
      <c r="L1199">
        <v>7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700</v>
      </c>
      <c r="AH1199">
        <v>7</v>
      </c>
      <c r="AI1199">
        <v>0</v>
      </c>
      <c r="AJ1199">
        <v>0</v>
      </c>
      <c r="AK1199">
        <v>600</v>
      </c>
      <c r="AL1199">
        <v>0</v>
      </c>
      <c r="AM1199">
        <v>120</v>
      </c>
      <c r="AN1199">
        <v>-36</v>
      </c>
      <c r="AO1199">
        <v>0</v>
      </c>
      <c r="AP1199">
        <v>478.8</v>
      </c>
      <c r="AT1199" t="str">
        <f t="shared" si="235"/>
        <v>9791137602113</v>
      </c>
      <c r="AV1199" t="str">
        <f t="shared" si="233"/>
        <v>판타지 웹소설 &gt; 현대 판타지</v>
      </c>
    </row>
    <row r="1200" spans="1:48" x14ac:dyDescent="0.4">
      <c r="A1200">
        <v>2313011955</v>
      </c>
      <c r="B1200">
        <v>2313012195</v>
      </c>
      <c r="C1200" t="str">
        <f>T("갓 오브 블랙필드 241화")</f>
        <v>갓 오브 블랙필드 241화</v>
      </c>
      <c r="D1200" t="str">
        <f>T("241")</f>
        <v>241</v>
      </c>
      <c r="E1200" t="str">
        <f t="shared" si="232"/>
        <v>무장</v>
      </c>
      <c r="H1200" t="str">
        <f t="shared" si="231"/>
        <v>스토리위즈</v>
      </c>
      <c r="I1200" t="str">
        <f t="shared" si="234"/>
        <v>갓 오브 블랙필드</v>
      </c>
      <c r="J1200">
        <v>100</v>
      </c>
      <c r="K1200">
        <v>700</v>
      </c>
      <c r="L1200">
        <v>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700</v>
      </c>
      <c r="AH1200">
        <v>7</v>
      </c>
      <c r="AI1200">
        <v>0</v>
      </c>
      <c r="AJ1200">
        <v>0</v>
      </c>
      <c r="AK1200">
        <v>600</v>
      </c>
      <c r="AL1200">
        <v>0</v>
      </c>
      <c r="AM1200">
        <v>120</v>
      </c>
      <c r="AN1200">
        <v>-36</v>
      </c>
      <c r="AO1200">
        <v>0</v>
      </c>
      <c r="AP1200">
        <v>478.8</v>
      </c>
      <c r="AT1200" t="str">
        <f t="shared" si="235"/>
        <v>9791137602113</v>
      </c>
      <c r="AV1200" t="str">
        <f t="shared" si="233"/>
        <v>판타지 웹소설 &gt; 현대 판타지</v>
      </c>
    </row>
    <row r="1201" spans="1:48" x14ac:dyDescent="0.4">
      <c r="A1201">
        <v>2313011955</v>
      </c>
      <c r="B1201">
        <v>2313012196</v>
      </c>
      <c r="C1201" t="str">
        <f>T("갓 오브 블랙필드 242화")</f>
        <v>갓 오브 블랙필드 242화</v>
      </c>
      <c r="D1201" t="str">
        <f>T("242")</f>
        <v>242</v>
      </c>
      <c r="E1201" t="str">
        <f t="shared" si="232"/>
        <v>무장</v>
      </c>
      <c r="H1201" t="str">
        <f t="shared" si="231"/>
        <v>스토리위즈</v>
      </c>
      <c r="I1201" t="str">
        <f t="shared" si="234"/>
        <v>갓 오브 블랙필드</v>
      </c>
      <c r="J1201">
        <v>100</v>
      </c>
      <c r="K1201">
        <v>700</v>
      </c>
      <c r="L1201">
        <v>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700</v>
      </c>
      <c r="AH1201">
        <v>7</v>
      </c>
      <c r="AI1201">
        <v>0</v>
      </c>
      <c r="AJ1201">
        <v>0</v>
      </c>
      <c r="AK1201">
        <v>600</v>
      </c>
      <c r="AL1201">
        <v>0</v>
      </c>
      <c r="AM1201">
        <v>120</v>
      </c>
      <c r="AN1201">
        <v>-36</v>
      </c>
      <c r="AO1201">
        <v>0</v>
      </c>
      <c r="AP1201">
        <v>478.8</v>
      </c>
      <c r="AT1201" t="str">
        <f t="shared" si="235"/>
        <v>9791137602113</v>
      </c>
      <c r="AV1201" t="str">
        <f t="shared" si="233"/>
        <v>판타지 웹소설 &gt; 현대 판타지</v>
      </c>
    </row>
    <row r="1202" spans="1:48" x14ac:dyDescent="0.4">
      <c r="A1202">
        <v>2313011955</v>
      </c>
      <c r="B1202">
        <v>2313012197</v>
      </c>
      <c r="C1202" t="str">
        <f>T("갓 오브 블랙필드 243화")</f>
        <v>갓 오브 블랙필드 243화</v>
      </c>
      <c r="D1202" t="str">
        <f>T("243")</f>
        <v>243</v>
      </c>
      <c r="E1202" t="str">
        <f t="shared" si="232"/>
        <v>무장</v>
      </c>
      <c r="H1202" t="str">
        <f t="shared" si="231"/>
        <v>스토리위즈</v>
      </c>
      <c r="I1202" t="str">
        <f t="shared" si="234"/>
        <v>갓 오브 블랙필드</v>
      </c>
      <c r="J1202">
        <v>100</v>
      </c>
      <c r="K1202">
        <v>700</v>
      </c>
      <c r="L1202">
        <v>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700</v>
      </c>
      <c r="AH1202">
        <v>7</v>
      </c>
      <c r="AI1202">
        <v>0</v>
      </c>
      <c r="AJ1202">
        <v>0</v>
      </c>
      <c r="AK1202">
        <v>600</v>
      </c>
      <c r="AL1202">
        <v>0</v>
      </c>
      <c r="AM1202">
        <v>120</v>
      </c>
      <c r="AN1202">
        <v>-36</v>
      </c>
      <c r="AO1202">
        <v>0</v>
      </c>
      <c r="AP1202">
        <v>478.8</v>
      </c>
      <c r="AT1202" t="str">
        <f t="shared" si="235"/>
        <v>9791137602113</v>
      </c>
      <c r="AV1202" t="str">
        <f t="shared" si="233"/>
        <v>판타지 웹소설 &gt; 현대 판타지</v>
      </c>
    </row>
    <row r="1203" spans="1:48" x14ac:dyDescent="0.4">
      <c r="A1203">
        <v>2313011955</v>
      </c>
      <c r="B1203">
        <v>2313012198</v>
      </c>
      <c r="C1203" t="str">
        <f>T("갓 오브 블랙필드 244화")</f>
        <v>갓 오브 블랙필드 244화</v>
      </c>
      <c r="D1203" t="str">
        <f>T("244")</f>
        <v>244</v>
      </c>
      <c r="E1203" t="str">
        <f t="shared" si="232"/>
        <v>무장</v>
      </c>
      <c r="H1203" t="str">
        <f t="shared" si="231"/>
        <v>스토리위즈</v>
      </c>
      <c r="I1203" t="str">
        <f t="shared" si="234"/>
        <v>갓 오브 블랙필드</v>
      </c>
      <c r="J1203">
        <v>100</v>
      </c>
      <c r="K1203">
        <v>700</v>
      </c>
      <c r="L1203">
        <v>7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700</v>
      </c>
      <c r="AH1203">
        <v>7</v>
      </c>
      <c r="AI1203">
        <v>0</v>
      </c>
      <c r="AJ1203">
        <v>0</v>
      </c>
      <c r="AK1203">
        <v>600</v>
      </c>
      <c r="AL1203">
        <v>0</v>
      </c>
      <c r="AM1203">
        <v>120</v>
      </c>
      <c r="AN1203">
        <v>-36</v>
      </c>
      <c r="AO1203">
        <v>0</v>
      </c>
      <c r="AP1203">
        <v>478.8</v>
      </c>
      <c r="AT1203" t="str">
        <f t="shared" si="235"/>
        <v>9791137602113</v>
      </c>
      <c r="AV1203" t="str">
        <f t="shared" si="233"/>
        <v>판타지 웹소설 &gt; 현대 판타지</v>
      </c>
    </row>
    <row r="1204" spans="1:48" x14ac:dyDescent="0.4">
      <c r="A1204">
        <v>2313012849</v>
      </c>
      <c r="B1204">
        <v>2313012972</v>
      </c>
      <c r="C1204" t="str">
        <f>T("디버프 마스터 124화")</f>
        <v>디버프 마스터 124화</v>
      </c>
      <c r="D1204" t="str">
        <f>T("124")</f>
        <v>124</v>
      </c>
      <c r="E1204" t="str">
        <f t="shared" ref="E1204:E1267" si="236">T("담화공")</f>
        <v>담화공</v>
      </c>
      <c r="H1204" t="str">
        <f t="shared" si="231"/>
        <v>스토리위즈</v>
      </c>
      <c r="I1204" t="str">
        <f t="shared" ref="I1204:I1267" si="237">T("디버프 마스터")</f>
        <v>디버프 마스터</v>
      </c>
      <c r="J1204">
        <v>100</v>
      </c>
      <c r="K1204">
        <v>700</v>
      </c>
      <c r="L1204">
        <v>7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700</v>
      </c>
      <c r="AH1204">
        <v>7</v>
      </c>
      <c r="AI1204">
        <v>0</v>
      </c>
      <c r="AJ1204">
        <v>0</v>
      </c>
      <c r="AK1204">
        <v>600</v>
      </c>
      <c r="AL1204">
        <v>0</v>
      </c>
      <c r="AM1204">
        <v>119.05</v>
      </c>
      <c r="AN1204">
        <v>-35.72</v>
      </c>
      <c r="AO1204">
        <v>0</v>
      </c>
      <c r="AP1204">
        <v>478.33</v>
      </c>
      <c r="AT1204" t="str">
        <f t="shared" ref="AT1204:AT1267" si="238">T("9791137602663")</f>
        <v>9791137602663</v>
      </c>
      <c r="AV1204" t="str">
        <f t="shared" ref="AV1204:AV1267" si="239">T("판타지 웹소설 &gt; 퓨전 판타지")</f>
        <v>판타지 웹소설 &gt; 퓨전 판타지</v>
      </c>
    </row>
    <row r="1205" spans="1:48" x14ac:dyDescent="0.4">
      <c r="A1205">
        <v>2313012849</v>
      </c>
      <c r="B1205">
        <v>2313012973</v>
      </c>
      <c r="C1205" t="str">
        <f>T("디버프 마스터 125화")</f>
        <v>디버프 마스터 125화</v>
      </c>
      <c r="D1205" t="str">
        <f>T("125")</f>
        <v>125</v>
      </c>
      <c r="E1205" t="str">
        <f t="shared" si="236"/>
        <v>담화공</v>
      </c>
      <c r="H1205" t="str">
        <f t="shared" si="231"/>
        <v>스토리위즈</v>
      </c>
      <c r="I1205" t="str">
        <f t="shared" si="237"/>
        <v>디버프 마스터</v>
      </c>
      <c r="J1205">
        <v>100</v>
      </c>
      <c r="K1205">
        <v>700</v>
      </c>
      <c r="L1205">
        <v>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700</v>
      </c>
      <c r="AH1205">
        <v>7</v>
      </c>
      <c r="AI1205">
        <v>0</v>
      </c>
      <c r="AJ1205">
        <v>0</v>
      </c>
      <c r="AK1205">
        <v>600</v>
      </c>
      <c r="AL1205">
        <v>0</v>
      </c>
      <c r="AM1205">
        <v>119.05</v>
      </c>
      <c r="AN1205">
        <v>-35.72</v>
      </c>
      <c r="AO1205">
        <v>0</v>
      </c>
      <c r="AP1205">
        <v>478.33</v>
      </c>
      <c r="AT1205" t="str">
        <f t="shared" si="238"/>
        <v>9791137602663</v>
      </c>
      <c r="AV1205" t="str">
        <f t="shared" si="239"/>
        <v>판타지 웹소설 &gt; 퓨전 판타지</v>
      </c>
    </row>
    <row r="1206" spans="1:48" x14ac:dyDescent="0.4">
      <c r="A1206">
        <v>2313012849</v>
      </c>
      <c r="B1206">
        <v>2313012974</v>
      </c>
      <c r="C1206" t="str">
        <f>T("디버프 마스터 126화")</f>
        <v>디버프 마스터 126화</v>
      </c>
      <c r="D1206" t="str">
        <f>T("126")</f>
        <v>126</v>
      </c>
      <c r="E1206" t="str">
        <f t="shared" si="236"/>
        <v>담화공</v>
      </c>
      <c r="H1206" t="str">
        <f t="shared" si="231"/>
        <v>스토리위즈</v>
      </c>
      <c r="I1206" t="str">
        <f t="shared" si="237"/>
        <v>디버프 마스터</v>
      </c>
      <c r="J1206">
        <v>100</v>
      </c>
      <c r="K1206">
        <v>700</v>
      </c>
      <c r="L1206">
        <v>7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700</v>
      </c>
      <c r="AH1206">
        <v>7</v>
      </c>
      <c r="AI1206">
        <v>0</v>
      </c>
      <c r="AJ1206">
        <v>0</v>
      </c>
      <c r="AK1206">
        <v>600</v>
      </c>
      <c r="AL1206">
        <v>0</v>
      </c>
      <c r="AM1206">
        <v>119.05</v>
      </c>
      <c r="AN1206">
        <v>-35.72</v>
      </c>
      <c r="AO1206">
        <v>0</v>
      </c>
      <c r="AP1206">
        <v>478.33</v>
      </c>
      <c r="AT1206" t="str">
        <f t="shared" si="238"/>
        <v>9791137602663</v>
      </c>
      <c r="AV1206" t="str">
        <f t="shared" si="239"/>
        <v>판타지 웹소설 &gt; 퓨전 판타지</v>
      </c>
    </row>
    <row r="1207" spans="1:48" x14ac:dyDescent="0.4">
      <c r="A1207">
        <v>2313012849</v>
      </c>
      <c r="B1207">
        <v>2313012980</v>
      </c>
      <c r="C1207" t="str">
        <f>T("디버프 마스터 132화")</f>
        <v>디버프 마스터 132화</v>
      </c>
      <c r="D1207" t="str">
        <f>T("132")</f>
        <v>132</v>
      </c>
      <c r="E1207" t="str">
        <f t="shared" si="236"/>
        <v>담화공</v>
      </c>
      <c r="H1207" t="str">
        <f t="shared" si="231"/>
        <v>스토리위즈</v>
      </c>
      <c r="I1207" t="str">
        <f t="shared" si="237"/>
        <v>디버프 마스터</v>
      </c>
      <c r="J1207">
        <v>100</v>
      </c>
      <c r="K1207">
        <v>700</v>
      </c>
      <c r="L1207">
        <v>7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700</v>
      </c>
      <c r="AH1207">
        <v>7</v>
      </c>
      <c r="AI1207">
        <v>0</v>
      </c>
      <c r="AJ1207">
        <v>0</v>
      </c>
      <c r="AK1207">
        <v>600</v>
      </c>
      <c r="AL1207">
        <v>0</v>
      </c>
      <c r="AM1207">
        <v>119.05</v>
      </c>
      <c r="AN1207">
        <v>-35.72</v>
      </c>
      <c r="AO1207">
        <v>0</v>
      </c>
      <c r="AP1207">
        <v>478.33</v>
      </c>
      <c r="AT1207" t="str">
        <f t="shared" si="238"/>
        <v>9791137602663</v>
      </c>
      <c r="AV1207" t="str">
        <f t="shared" si="239"/>
        <v>판타지 웹소설 &gt; 퓨전 판타지</v>
      </c>
    </row>
    <row r="1208" spans="1:48" x14ac:dyDescent="0.4">
      <c r="A1208">
        <v>2313012849</v>
      </c>
      <c r="B1208">
        <v>2313012981</v>
      </c>
      <c r="C1208" t="str">
        <f>T("디버프 마스터 133화")</f>
        <v>디버프 마스터 133화</v>
      </c>
      <c r="D1208" t="str">
        <f>T("133")</f>
        <v>133</v>
      </c>
      <c r="E1208" t="str">
        <f t="shared" si="236"/>
        <v>담화공</v>
      </c>
      <c r="H1208" t="str">
        <f t="shared" si="231"/>
        <v>스토리위즈</v>
      </c>
      <c r="I1208" t="str">
        <f t="shared" si="237"/>
        <v>디버프 마스터</v>
      </c>
      <c r="J1208">
        <v>100</v>
      </c>
      <c r="K1208">
        <v>700</v>
      </c>
      <c r="L1208">
        <v>7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700</v>
      </c>
      <c r="AH1208">
        <v>7</v>
      </c>
      <c r="AI1208">
        <v>0</v>
      </c>
      <c r="AJ1208">
        <v>0</v>
      </c>
      <c r="AK1208">
        <v>600</v>
      </c>
      <c r="AL1208">
        <v>0</v>
      </c>
      <c r="AM1208">
        <v>119.05</v>
      </c>
      <c r="AN1208">
        <v>-35.72</v>
      </c>
      <c r="AO1208">
        <v>0</v>
      </c>
      <c r="AP1208">
        <v>478.33</v>
      </c>
      <c r="AT1208" t="str">
        <f t="shared" si="238"/>
        <v>9791137602663</v>
      </c>
      <c r="AV1208" t="str">
        <f t="shared" si="239"/>
        <v>판타지 웹소설 &gt; 퓨전 판타지</v>
      </c>
    </row>
    <row r="1209" spans="1:48" x14ac:dyDescent="0.4">
      <c r="A1209">
        <v>2313012849</v>
      </c>
      <c r="B1209">
        <v>2313012982</v>
      </c>
      <c r="C1209" t="str">
        <f>T("디버프 마스터 134화")</f>
        <v>디버프 마스터 134화</v>
      </c>
      <c r="D1209" t="str">
        <f>T("134")</f>
        <v>134</v>
      </c>
      <c r="E1209" t="str">
        <f t="shared" si="236"/>
        <v>담화공</v>
      </c>
      <c r="H1209" t="str">
        <f t="shared" si="231"/>
        <v>스토리위즈</v>
      </c>
      <c r="I1209" t="str">
        <f t="shared" si="237"/>
        <v>디버프 마스터</v>
      </c>
      <c r="J1209">
        <v>100</v>
      </c>
      <c r="K1209">
        <v>700</v>
      </c>
      <c r="L1209">
        <v>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700</v>
      </c>
      <c r="AH1209">
        <v>7</v>
      </c>
      <c r="AI1209">
        <v>0</v>
      </c>
      <c r="AJ1209">
        <v>0</v>
      </c>
      <c r="AK1209">
        <v>600</v>
      </c>
      <c r="AL1209">
        <v>0</v>
      </c>
      <c r="AM1209">
        <v>119.05</v>
      </c>
      <c r="AN1209">
        <v>-35.72</v>
      </c>
      <c r="AO1209">
        <v>0</v>
      </c>
      <c r="AP1209">
        <v>478.33</v>
      </c>
      <c r="AT1209" t="str">
        <f t="shared" si="238"/>
        <v>9791137602663</v>
      </c>
      <c r="AV1209" t="str">
        <f t="shared" si="239"/>
        <v>판타지 웹소설 &gt; 퓨전 판타지</v>
      </c>
    </row>
    <row r="1210" spans="1:48" x14ac:dyDescent="0.4">
      <c r="A1210">
        <v>2313012849</v>
      </c>
      <c r="B1210">
        <v>2313012983</v>
      </c>
      <c r="C1210" t="str">
        <f>T("디버프 마스터 135화")</f>
        <v>디버프 마스터 135화</v>
      </c>
      <c r="D1210" t="str">
        <f>T("135")</f>
        <v>135</v>
      </c>
      <c r="E1210" t="str">
        <f t="shared" si="236"/>
        <v>담화공</v>
      </c>
      <c r="H1210" t="str">
        <f t="shared" si="231"/>
        <v>스토리위즈</v>
      </c>
      <c r="I1210" t="str">
        <f t="shared" si="237"/>
        <v>디버프 마스터</v>
      </c>
      <c r="J1210">
        <v>100</v>
      </c>
      <c r="K1210">
        <v>700</v>
      </c>
      <c r="L1210">
        <v>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700</v>
      </c>
      <c r="AH1210">
        <v>7</v>
      </c>
      <c r="AI1210">
        <v>0</v>
      </c>
      <c r="AJ1210">
        <v>0</v>
      </c>
      <c r="AK1210">
        <v>600</v>
      </c>
      <c r="AL1210">
        <v>0</v>
      </c>
      <c r="AM1210">
        <v>119.05</v>
      </c>
      <c r="AN1210">
        <v>-35.72</v>
      </c>
      <c r="AO1210">
        <v>0</v>
      </c>
      <c r="AP1210">
        <v>478.33</v>
      </c>
      <c r="AT1210" t="str">
        <f t="shared" si="238"/>
        <v>9791137602663</v>
      </c>
      <c r="AV1210" t="str">
        <f t="shared" si="239"/>
        <v>판타지 웹소설 &gt; 퓨전 판타지</v>
      </c>
    </row>
    <row r="1211" spans="1:48" x14ac:dyDescent="0.4">
      <c r="A1211">
        <v>2313012849</v>
      </c>
      <c r="B1211">
        <v>2313012984</v>
      </c>
      <c r="C1211" t="str">
        <f>T("디버프 마스터 136화")</f>
        <v>디버프 마스터 136화</v>
      </c>
      <c r="D1211" t="str">
        <f>T("136")</f>
        <v>136</v>
      </c>
      <c r="E1211" t="str">
        <f t="shared" si="236"/>
        <v>담화공</v>
      </c>
      <c r="H1211" t="str">
        <f t="shared" si="231"/>
        <v>스토리위즈</v>
      </c>
      <c r="I1211" t="str">
        <f t="shared" si="237"/>
        <v>디버프 마스터</v>
      </c>
      <c r="J1211">
        <v>100</v>
      </c>
      <c r="K1211">
        <v>700</v>
      </c>
      <c r="L1211">
        <v>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700</v>
      </c>
      <c r="AH1211">
        <v>7</v>
      </c>
      <c r="AI1211">
        <v>0</v>
      </c>
      <c r="AJ1211">
        <v>0</v>
      </c>
      <c r="AK1211">
        <v>600</v>
      </c>
      <c r="AL1211">
        <v>0</v>
      </c>
      <c r="AM1211">
        <v>119.05</v>
      </c>
      <c r="AN1211">
        <v>-35.72</v>
      </c>
      <c r="AO1211">
        <v>0</v>
      </c>
      <c r="AP1211">
        <v>478.33</v>
      </c>
      <c r="AT1211" t="str">
        <f t="shared" si="238"/>
        <v>9791137602663</v>
      </c>
      <c r="AV1211" t="str">
        <f t="shared" si="239"/>
        <v>판타지 웹소설 &gt; 퓨전 판타지</v>
      </c>
    </row>
    <row r="1212" spans="1:48" x14ac:dyDescent="0.4">
      <c r="A1212">
        <v>2313012849</v>
      </c>
      <c r="B1212">
        <v>2313012985</v>
      </c>
      <c r="C1212" t="str">
        <f>T("디버프 마스터 137화")</f>
        <v>디버프 마스터 137화</v>
      </c>
      <c r="D1212" t="str">
        <f>T("137")</f>
        <v>137</v>
      </c>
      <c r="E1212" t="str">
        <f t="shared" si="236"/>
        <v>담화공</v>
      </c>
      <c r="H1212" t="str">
        <f t="shared" si="231"/>
        <v>스토리위즈</v>
      </c>
      <c r="I1212" t="str">
        <f t="shared" si="237"/>
        <v>디버프 마스터</v>
      </c>
      <c r="J1212">
        <v>100</v>
      </c>
      <c r="K1212">
        <v>700</v>
      </c>
      <c r="L1212">
        <v>7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700</v>
      </c>
      <c r="AH1212">
        <v>7</v>
      </c>
      <c r="AI1212">
        <v>0</v>
      </c>
      <c r="AJ1212">
        <v>0</v>
      </c>
      <c r="AK1212">
        <v>600</v>
      </c>
      <c r="AL1212">
        <v>0</v>
      </c>
      <c r="AM1212">
        <v>119.05</v>
      </c>
      <c r="AN1212">
        <v>-35.72</v>
      </c>
      <c r="AO1212">
        <v>0</v>
      </c>
      <c r="AP1212">
        <v>478.33</v>
      </c>
      <c r="AT1212" t="str">
        <f t="shared" si="238"/>
        <v>9791137602663</v>
      </c>
      <c r="AV1212" t="str">
        <f t="shared" si="239"/>
        <v>판타지 웹소설 &gt; 퓨전 판타지</v>
      </c>
    </row>
    <row r="1213" spans="1:48" x14ac:dyDescent="0.4">
      <c r="A1213">
        <v>2313012849</v>
      </c>
      <c r="B1213">
        <v>2313012986</v>
      </c>
      <c r="C1213" t="str">
        <f>T("디버프 마스터 138화")</f>
        <v>디버프 마스터 138화</v>
      </c>
      <c r="D1213" t="str">
        <f>T("138")</f>
        <v>138</v>
      </c>
      <c r="E1213" t="str">
        <f t="shared" si="236"/>
        <v>담화공</v>
      </c>
      <c r="H1213" t="str">
        <f t="shared" si="231"/>
        <v>스토리위즈</v>
      </c>
      <c r="I1213" t="str">
        <f t="shared" si="237"/>
        <v>디버프 마스터</v>
      </c>
      <c r="J1213">
        <v>100</v>
      </c>
      <c r="K1213">
        <v>700</v>
      </c>
      <c r="L1213">
        <v>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700</v>
      </c>
      <c r="AH1213">
        <v>7</v>
      </c>
      <c r="AI1213">
        <v>0</v>
      </c>
      <c r="AJ1213">
        <v>0</v>
      </c>
      <c r="AK1213">
        <v>600</v>
      </c>
      <c r="AL1213">
        <v>0</v>
      </c>
      <c r="AM1213">
        <v>119.05</v>
      </c>
      <c r="AN1213">
        <v>-35.72</v>
      </c>
      <c r="AO1213">
        <v>0</v>
      </c>
      <c r="AP1213">
        <v>478.33</v>
      </c>
      <c r="AT1213" t="str">
        <f t="shared" si="238"/>
        <v>9791137602663</v>
      </c>
      <c r="AV1213" t="str">
        <f t="shared" si="239"/>
        <v>판타지 웹소설 &gt; 퓨전 판타지</v>
      </c>
    </row>
    <row r="1214" spans="1:48" x14ac:dyDescent="0.4">
      <c r="A1214">
        <v>2313012849</v>
      </c>
      <c r="B1214">
        <v>2313012988</v>
      </c>
      <c r="C1214" t="str">
        <f>T("디버프 마스터 140화")</f>
        <v>디버프 마스터 140화</v>
      </c>
      <c r="D1214" t="str">
        <f>T("140")</f>
        <v>140</v>
      </c>
      <c r="E1214" t="str">
        <f t="shared" si="236"/>
        <v>담화공</v>
      </c>
      <c r="H1214" t="str">
        <f t="shared" si="231"/>
        <v>스토리위즈</v>
      </c>
      <c r="I1214" t="str">
        <f t="shared" si="237"/>
        <v>디버프 마스터</v>
      </c>
      <c r="J1214">
        <v>100</v>
      </c>
      <c r="K1214">
        <v>700</v>
      </c>
      <c r="L1214">
        <v>7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700</v>
      </c>
      <c r="AH1214">
        <v>7</v>
      </c>
      <c r="AI1214">
        <v>0</v>
      </c>
      <c r="AJ1214">
        <v>0</v>
      </c>
      <c r="AK1214">
        <v>600</v>
      </c>
      <c r="AL1214">
        <v>0</v>
      </c>
      <c r="AM1214">
        <v>119.05</v>
      </c>
      <c r="AN1214">
        <v>-35.72</v>
      </c>
      <c r="AO1214">
        <v>0</v>
      </c>
      <c r="AP1214">
        <v>478.33</v>
      </c>
      <c r="AT1214" t="str">
        <f t="shared" si="238"/>
        <v>9791137602663</v>
      </c>
      <c r="AV1214" t="str">
        <f t="shared" si="239"/>
        <v>판타지 웹소설 &gt; 퓨전 판타지</v>
      </c>
    </row>
    <row r="1215" spans="1:48" x14ac:dyDescent="0.4">
      <c r="A1215">
        <v>2313012849</v>
      </c>
      <c r="B1215">
        <v>2313012989</v>
      </c>
      <c r="C1215" t="str">
        <f>T("디버프 마스터 141화")</f>
        <v>디버프 마스터 141화</v>
      </c>
      <c r="D1215" t="str">
        <f>T("141")</f>
        <v>141</v>
      </c>
      <c r="E1215" t="str">
        <f t="shared" si="236"/>
        <v>담화공</v>
      </c>
      <c r="H1215" t="str">
        <f t="shared" si="231"/>
        <v>스토리위즈</v>
      </c>
      <c r="I1215" t="str">
        <f t="shared" si="237"/>
        <v>디버프 마스터</v>
      </c>
      <c r="J1215">
        <v>100</v>
      </c>
      <c r="K1215">
        <v>700</v>
      </c>
      <c r="L1215">
        <v>7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700</v>
      </c>
      <c r="AH1215">
        <v>7</v>
      </c>
      <c r="AI1215">
        <v>0</v>
      </c>
      <c r="AJ1215">
        <v>0</v>
      </c>
      <c r="AK1215">
        <v>600</v>
      </c>
      <c r="AL1215">
        <v>0</v>
      </c>
      <c r="AM1215">
        <v>119.05</v>
      </c>
      <c r="AN1215">
        <v>-35.72</v>
      </c>
      <c r="AO1215">
        <v>0</v>
      </c>
      <c r="AP1215">
        <v>478.33</v>
      </c>
      <c r="AT1215" t="str">
        <f t="shared" si="238"/>
        <v>9791137602663</v>
      </c>
      <c r="AV1215" t="str">
        <f t="shared" si="239"/>
        <v>판타지 웹소설 &gt; 퓨전 판타지</v>
      </c>
    </row>
    <row r="1216" spans="1:48" x14ac:dyDescent="0.4">
      <c r="A1216">
        <v>2313012849</v>
      </c>
      <c r="B1216">
        <v>2313012991</v>
      </c>
      <c r="C1216" t="str">
        <f>T("디버프 마스터 143화")</f>
        <v>디버프 마스터 143화</v>
      </c>
      <c r="D1216" t="str">
        <f>T("143")</f>
        <v>143</v>
      </c>
      <c r="E1216" t="str">
        <f t="shared" si="236"/>
        <v>담화공</v>
      </c>
      <c r="H1216" t="str">
        <f t="shared" si="231"/>
        <v>스토리위즈</v>
      </c>
      <c r="I1216" t="str">
        <f t="shared" si="237"/>
        <v>디버프 마스터</v>
      </c>
      <c r="J1216">
        <v>100</v>
      </c>
      <c r="K1216">
        <v>700</v>
      </c>
      <c r="L1216">
        <v>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700</v>
      </c>
      <c r="AH1216">
        <v>7</v>
      </c>
      <c r="AI1216">
        <v>0</v>
      </c>
      <c r="AJ1216">
        <v>0</v>
      </c>
      <c r="AK1216">
        <v>600</v>
      </c>
      <c r="AL1216">
        <v>0</v>
      </c>
      <c r="AM1216">
        <v>119.05</v>
      </c>
      <c r="AN1216">
        <v>-35.72</v>
      </c>
      <c r="AO1216">
        <v>0</v>
      </c>
      <c r="AP1216">
        <v>478.33</v>
      </c>
      <c r="AT1216" t="str">
        <f t="shared" si="238"/>
        <v>9791137602663</v>
      </c>
      <c r="AV1216" t="str">
        <f t="shared" si="239"/>
        <v>판타지 웹소설 &gt; 퓨전 판타지</v>
      </c>
    </row>
    <row r="1217" spans="1:48" x14ac:dyDescent="0.4">
      <c r="A1217">
        <v>2313012849</v>
      </c>
      <c r="B1217">
        <v>2313012992</v>
      </c>
      <c r="C1217" t="str">
        <f>T("디버프 마스터 144화")</f>
        <v>디버프 마스터 144화</v>
      </c>
      <c r="D1217" t="str">
        <f>T("144")</f>
        <v>144</v>
      </c>
      <c r="E1217" t="str">
        <f t="shared" si="236"/>
        <v>담화공</v>
      </c>
      <c r="H1217" t="str">
        <f t="shared" si="231"/>
        <v>스토리위즈</v>
      </c>
      <c r="I1217" t="str">
        <f t="shared" si="237"/>
        <v>디버프 마스터</v>
      </c>
      <c r="J1217">
        <v>100</v>
      </c>
      <c r="K1217">
        <v>700</v>
      </c>
      <c r="L1217">
        <v>7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700</v>
      </c>
      <c r="AH1217">
        <v>7</v>
      </c>
      <c r="AI1217">
        <v>0</v>
      </c>
      <c r="AJ1217">
        <v>0</v>
      </c>
      <c r="AK1217">
        <v>600</v>
      </c>
      <c r="AL1217">
        <v>0</v>
      </c>
      <c r="AM1217">
        <v>119.05</v>
      </c>
      <c r="AN1217">
        <v>-35.72</v>
      </c>
      <c r="AO1217">
        <v>0</v>
      </c>
      <c r="AP1217">
        <v>478.33</v>
      </c>
      <c r="AT1217" t="str">
        <f t="shared" si="238"/>
        <v>9791137602663</v>
      </c>
      <c r="AV1217" t="str">
        <f t="shared" si="239"/>
        <v>판타지 웹소설 &gt; 퓨전 판타지</v>
      </c>
    </row>
    <row r="1218" spans="1:48" x14ac:dyDescent="0.4">
      <c r="A1218">
        <v>2313012849</v>
      </c>
      <c r="B1218">
        <v>2313012993</v>
      </c>
      <c r="C1218" t="str">
        <f>T("디버프 마스터 145화")</f>
        <v>디버프 마스터 145화</v>
      </c>
      <c r="D1218" t="str">
        <f>T("145")</f>
        <v>145</v>
      </c>
      <c r="E1218" t="str">
        <f t="shared" si="236"/>
        <v>담화공</v>
      </c>
      <c r="H1218" t="str">
        <f t="shared" ref="H1218:H1281" si="240">T("스토리위즈")</f>
        <v>스토리위즈</v>
      </c>
      <c r="I1218" t="str">
        <f t="shared" si="237"/>
        <v>디버프 마스터</v>
      </c>
      <c r="J1218">
        <v>100</v>
      </c>
      <c r="K1218">
        <v>700</v>
      </c>
      <c r="L1218">
        <v>7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700</v>
      </c>
      <c r="AH1218">
        <v>7</v>
      </c>
      <c r="AI1218">
        <v>0</v>
      </c>
      <c r="AJ1218">
        <v>0</v>
      </c>
      <c r="AK1218">
        <v>600</v>
      </c>
      <c r="AL1218">
        <v>0</v>
      </c>
      <c r="AM1218">
        <v>119.05</v>
      </c>
      <c r="AN1218">
        <v>-35.72</v>
      </c>
      <c r="AO1218">
        <v>0</v>
      </c>
      <c r="AP1218">
        <v>478.33</v>
      </c>
      <c r="AT1218" t="str">
        <f t="shared" si="238"/>
        <v>9791137602663</v>
      </c>
      <c r="AV1218" t="str">
        <f t="shared" si="239"/>
        <v>판타지 웹소설 &gt; 퓨전 판타지</v>
      </c>
    </row>
    <row r="1219" spans="1:48" x14ac:dyDescent="0.4">
      <c r="A1219">
        <v>2313012849</v>
      </c>
      <c r="B1219">
        <v>2313012995</v>
      </c>
      <c r="C1219" t="str">
        <f>T("디버프 마스터 147화")</f>
        <v>디버프 마스터 147화</v>
      </c>
      <c r="D1219" t="str">
        <f>T("147")</f>
        <v>147</v>
      </c>
      <c r="E1219" t="str">
        <f t="shared" si="236"/>
        <v>담화공</v>
      </c>
      <c r="H1219" t="str">
        <f t="shared" si="240"/>
        <v>스토리위즈</v>
      </c>
      <c r="I1219" t="str">
        <f t="shared" si="237"/>
        <v>디버프 마스터</v>
      </c>
      <c r="J1219">
        <v>100</v>
      </c>
      <c r="K1219">
        <v>700</v>
      </c>
      <c r="L1219">
        <v>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700</v>
      </c>
      <c r="AH1219">
        <v>7</v>
      </c>
      <c r="AI1219">
        <v>0</v>
      </c>
      <c r="AJ1219">
        <v>0</v>
      </c>
      <c r="AK1219">
        <v>600</v>
      </c>
      <c r="AL1219">
        <v>0</v>
      </c>
      <c r="AM1219">
        <v>119.05</v>
      </c>
      <c r="AN1219">
        <v>-35.72</v>
      </c>
      <c r="AO1219">
        <v>0</v>
      </c>
      <c r="AP1219">
        <v>478.33</v>
      </c>
      <c r="AT1219" t="str">
        <f t="shared" si="238"/>
        <v>9791137602663</v>
      </c>
      <c r="AV1219" t="str">
        <f t="shared" si="239"/>
        <v>판타지 웹소설 &gt; 퓨전 판타지</v>
      </c>
    </row>
    <row r="1220" spans="1:48" x14ac:dyDescent="0.4">
      <c r="A1220">
        <v>2313012849</v>
      </c>
      <c r="B1220">
        <v>2313012996</v>
      </c>
      <c r="C1220" t="str">
        <f>T("디버프 마스터 148화")</f>
        <v>디버프 마스터 148화</v>
      </c>
      <c r="D1220" t="str">
        <f>T("148")</f>
        <v>148</v>
      </c>
      <c r="E1220" t="str">
        <f t="shared" si="236"/>
        <v>담화공</v>
      </c>
      <c r="H1220" t="str">
        <f t="shared" si="240"/>
        <v>스토리위즈</v>
      </c>
      <c r="I1220" t="str">
        <f t="shared" si="237"/>
        <v>디버프 마스터</v>
      </c>
      <c r="J1220">
        <v>100</v>
      </c>
      <c r="K1220">
        <v>700</v>
      </c>
      <c r="L1220">
        <v>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700</v>
      </c>
      <c r="AH1220">
        <v>7</v>
      </c>
      <c r="AI1220">
        <v>0</v>
      </c>
      <c r="AJ1220">
        <v>0</v>
      </c>
      <c r="AK1220">
        <v>600</v>
      </c>
      <c r="AL1220">
        <v>0</v>
      </c>
      <c r="AM1220">
        <v>119.05</v>
      </c>
      <c r="AN1220">
        <v>-35.72</v>
      </c>
      <c r="AO1220">
        <v>0</v>
      </c>
      <c r="AP1220">
        <v>478.33</v>
      </c>
      <c r="AT1220" t="str">
        <f t="shared" si="238"/>
        <v>9791137602663</v>
      </c>
      <c r="AV1220" t="str">
        <f t="shared" si="239"/>
        <v>판타지 웹소설 &gt; 퓨전 판타지</v>
      </c>
    </row>
    <row r="1221" spans="1:48" x14ac:dyDescent="0.4">
      <c r="A1221">
        <v>2313012849</v>
      </c>
      <c r="B1221">
        <v>2313012997</v>
      </c>
      <c r="C1221" t="str">
        <f>T("디버프 마스터 149화")</f>
        <v>디버프 마스터 149화</v>
      </c>
      <c r="D1221" t="str">
        <f>T("149")</f>
        <v>149</v>
      </c>
      <c r="E1221" t="str">
        <f t="shared" si="236"/>
        <v>담화공</v>
      </c>
      <c r="H1221" t="str">
        <f t="shared" si="240"/>
        <v>스토리위즈</v>
      </c>
      <c r="I1221" t="str">
        <f t="shared" si="237"/>
        <v>디버프 마스터</v>
      </c>
      <c r="J1221">
        <v>100</v>
      </c>
      <c r="K1221">
        <v>700</v>
      </c>
      <c r="L1221">
        <v>7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700</v>
      </c>
      <c r="AH1221">
        <v>7</v>
      </c>
      <c r="AI1221">
        <v>0</v>
      </c>
      <c r="AJ1221">
        <v>0</v>
      </c>
      <c r="AK1221">
        <v>600</v>
      </c>
      <c r="AL1221">
        <v>0</v>
      </c>
      <c r="AM1221">
        <v>119.05</v>
      </c>
      <c r="AN1221">
        <v>-35.72</v>
      </c>
      <c r="AO1221">
        <v>0</v>
      </c>
      <c r="AP1221">
        <v>478.33</v>
      </c>
      <c r="AT1221" t="str">
        <f t="shared" si="238"/>
        <v>9791137602663</v>
      </c>
      <c r="AV1221" t="str">
        <f t="shared" si="239"/>
        <v>판타지 웹소설 &gt; 퓨전 판타지</v>
      </c>
    </row>
    <row r="1222" spans="1:48" x14ac:dyDescent="0.4">
      <c r="A1222">
        <v>2313012849</v>
      </c>
      <c r="B1222">
        <v>2313012998</v>
      </c>
      <c r="C1222" t="str">
        <f>T("디버프 마스터 150화")</f>
        <v>디버프 마스터 150화</v>
      </c>
      <c r="D1222" t="str">
        <f>T("150")</f>
        <v>150</v>
      </c>
      <c r="E1222" t="str">
        <f t="shared" si="236"/>
        <v>담화공</v>
      </c>
      <c r="H1222" t="str">
        <f t="shared" si="240"/>
        <v>스토리위즈</v>
      </c>
      <c r="I1222" t="str">
        <f t="shared" si="237"/>
        <v>디버프 마스터</v>
      </c>
      <c r="J1222">
        <v>100</v>
      </c>
      <c r="K1222">
        <v>700</v>
      </c>
      <c r="L1222">
        <v>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700</v>
      </c>
      <c r="AH1222">
        <v>7</v>
      </c>
      <c r="AI1222">
        <v>0</v>
      </c>
      <c r="AJ1222">
        <v>0</v>
      </c>
      <c r="AK1222">
        <v>600</v>
      </c>
      <c r="AL1222">
        <v>0</v>
      </c>
      <c r="AM1222">
        <v>119.05</v>
      </c>
      <c r="AN1222">
        <v>-35.72</v>
      </c>
      <c r="AO1222">
        <v>0</v>
      </c>
      <c r="AP1222">
        <v>478.33</v>
      </c>
      <c r="AT1222" t="str">
        <f t="shared" si="238"/>
        <v>9791137602663</v>
      </c>
      <c r="AV1222" t="str">
        <f t="shared" si="239"/>
        <v>판타지 웹소설 &gt; 퓨전 판타지</v>
      </c>
    </row>
    <row r="1223" spans="1:48" x14ac:dyDescent="0.4">
      <c r="A1223">
        <v>2313012849</v>
      </c>
      <c r="B1223">
        <v>2313012999</v>
      </c>
      <c r="C1223" t="str">
        <f>T("디버프 마스터 151화")</f>
        <v>디버프 마스터 151화</v>
      </c>
      <c r="D1223" t="str">
        <f>T("151")</f>
        <v>151</v>
      </c>
      <c r="E1223" t="str">
        <f t="shared" si="236"/>
        <v>담화공</v>
      </c>
      <c r="H1223" t="str">
        <f t="shared" si="240"/>
        <v>스토리위즈</v>
      </c>
      <c r="I1223" t="str">
        <f t="shared" si="237"/>
        <v>디버프 마스터</v>
      </c>
      <c r="J1223">
        <v>100</v>
      </c>
      <c r="K1223">
        <v>700</v>
      </c>
      <c r="L1223">
        <v>7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700</v>
      </c>
      <c r="AH1223">
        <v>7</v>
      </c>
      <c r="AI1223">
        <v>0</v>
      </c>
      <c r="AJ1223">
        <v>0</v>
      </c>
      <c r="AK1223">
        <v>600</v>
      </c>
      <c r="AL1223">
        <v>0</v>
      </c>
      <c r="AM1223">
        <v>119.05</v>
      </c>
      <c r="AN1223">
        <v>-35.72</v>
      </c>
      <c r="AO1223">
        <v>0</v>
      </c>
      <c r="AP1223">
        <v>478.33</v>
      </c>
      <c r="AT1223" t="str">
        <f t="shared" si="238"/>
        <v>9791137602663</v>
      </c>
      <c r="AV1223" t="str">
        <f t="shared" si="239"/>
        <v>판타지 웹소설 &gt; 퓨전 판타지</v>
      </c>
    </row>
    <row r="1224" spans="1:48" x14ac:dyDescent="0.4">
      <c r="A1224">
        <v>2313012849</v>
      </c>
      <c r="B1224">
        <v>2313013000</v>
      </c>
      <c r="C1224" t="str">
        <f>T("디버프 마스터 152화")</f>
        <v>디버프 마스터 152화</v>
      </c>
      <c r="D1224" t="str">
        <f>T("152")</f>
        <v>152</v>
      </c>
      <c r="E1224" t="str">
        <f t="shared" si="236"/>
        <v>담화공</v>
      </c>
      <c r="H1224" t="str">
        <f t="shared" si="240"/>
        <v>스토리위즈</v>
      </c>
      <c r="I1224" t="str">
        <f t="shared" si="237"/>
        <v>디버프 마스터</v>
      </c>
      <c r="J1224">
        <v>100</v>
      </c>
      <c r="K1224">
        <v>700</v>
      </c>
      <c r="L1224">
        <v>7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700</v>
      </c>
      <c r="AH1224">
        <v>7</v>
      </c>
      <c r="AI1224">
        <v>0</v>
      </c>
      <c r="AJ1224">
        <v>0</v>
      </c>
      <c r="AK1224">
        <v>600</v>
      </c>
      <c r="AL1224">
        <v>0</v>
      </c>
      <c r="AM1224">
        <v>119.05</v>
      </c>
      <c r="AN1224">
        <v>-35.72</v>
      </c>
      <c r="AO1224">
        <v>0</v>
      </c>
      <c r="AP1224">
        <v>478.33</v>
      </c>
      <c r="AT1224" t="str">
        <f t="shared" si="238"/>
        <v>9791137602663</v>
      </c>
      <c r="AV1224" t="str">
        <f t="shared" si="239"/>
        <v>판타지 웹소설 &gt; 퓨전 판타지</v>
      </c>
    </row>
    <row r="1225" spans="1:48" x14ac:dyDescent="0.4">
      <c r="A1225">
        <v>2313012849</v>
      </c>
      <c r="B1225">
        <v>2313013001</v>
      </c>
      <c r="C1225" t="str">
        <f>T("디버프 마스터 153화")</f>
        <v>디버프 마스터 153화</v>
      </c>
      <c r="D1225" t="str">
        <f>T("153")</f>
        <v>153</v>
      </c>
      <c r="E1225" t="str">
        <f t="shared" si="236"/>
        <v>담화공</v>
      </c>
      <c r="H1225" t="str">
        <f t="shared" si="240"/>
        <v>스토리위즈</v>
      </c>
      <c r="I1225" t="str">
        <f t="shared" si="237"/>
        <v>디버프 마스터</v>
      </c>
      <c r="J1225">
        <v>100</v>
      </c>
      <c r="K1225">
        <v>700</v>
      </c>
      <c r="L1225">
        <v>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700</v>
      </c>
      <c r="AH1225">
        <v>7</v>
      </c>
      <c r="AI1225">
        <v>0</v>
      </c>
      <c r="AJ1225">
        <v>0</v>
      </c>
      <c r="AK1225">
        <v>600</v>
      </c>
      <c r="AL1225">
        <v>0</v>
      </c>
      <c r="AM1225">
        <v>119.05</v>
      </c>
      <c r="AN1225">
        <v>-35.72</v>
      </c>
      <c r="AO1225">
        <v>0</v>
      </c>
      <c r="AP1225">
        <v>478.33</v>
      </c>
      <c r="AT1225" t="str">
        <f t="shared" si="238"/>
        <v>9791137602663</v>
      </c>
      <c r="AV1225" t="str">
        <f t="shared" si="239"/>
        <v>판타지 웹소설 &gt; 퓨전 판타지</v>
      </c>
    </row>
    <row r="1226" spans="1:48" x14ac:dyDescent="0.4">
      <c r="A1226">
        <v>2313012849</v>
      </c>
      <c r="B1226">
        <v>2313013002</v>
      </c>
      <c r="C1226" t="str">
        <f>T("디버프 마스터 154화")</f>
        <v>디버프 마스터 154화</v>
      </c>
      <c r="D1226" t="str">
        <f>T("154")</f>
        <v>154</v>
      </c>
      <c r="E1226" t="str">
        <f t="shared" si="236"/>
        <v>담화공</v>
      </c>
      <c r="H1226" t="str">
        <f t="shared" si="240"/>
        <v>스토리위즈</v>
      </c>
      <c r="I1226" t="str">
        <f t="shared" si="237"/>
        <v>디버프 마스터</v>
      </c>
      <c r="J1226">
        <v>100</v>
      </c>
      <c r="K1226">
        <v>700</v>
      </c>
      <c r="L1226">
        <v>7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700</v>
      </c>
      <c r="AH1226">
        <v>7</v>
      </c>
      <c r="AI1226">
        <v>0</v>
      </c>
      <c r="AJ1226">
        <v>0</v>
      </c>
      <c r="AK1226">
        <v>600</v>
      </c>
      <c r="AL1226">
        <v>0</v>
      </c>
      <c r="AM1226">
        <v>119.05</v>
      </c>
      <c r="AN1226">
        <v>-35.72</v>
      </c>
      <c r="AO1226">
        <v>0</v>
      </c>
      <c r="AP1226">
        <v>478.33</v>
      </c>
      <c r="AT1226" t="str">
        <f t="shared" si="238"/>
        <v>9791137602663</v>
      </c>
      <c r="AV1226" t="str">
        <f t="shared" si="239"/>
        <v>판타지 웹소설 &gt; 퓨전 판타지</v>
      </c>
    </row>
    <row r="1227" spans="1:48" x14ac:dyDescent="0.4">
      <c r="A1227">
        <v>2313012849</v>
      </c>
      <c r="B1227">
        <v>2313013003</v>
      </c>
      <c r="C1227" t="str">
        <f>T("디버프 마스터 155화")</f>
        <v>디버프 마스터 155화</v>
      </c>
      <c r="D1227" t="str">
        <f>T("155")</f>
        <v>155</v>
      </c>
      <c r="E1227" t="str">
        <f t="shared" si="236"/>
        <v>담화공</v>
      </c>
      <c r="H1227" t="str">
        <f t="shared" si="240"/>
        <v>스토리위즈</v>
      </c>
      <c r="I1227" t="str">
        <f t="shared" si="237"/>
        <v>디버프 마스터</v>
      </c>
      <c r="J1227">
        <v>100</v>
      </c>
      <c r="K1227">
        <v>700</v>
      </c>
      <c r="L1227">
        <v>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700</v>
      </c>
      <c r="AH1227">
        <v>7</v>
      </c>
      <c r="AI1227">
        <v>0</v>
      </c>
      <c r="AJ1227">
        <v>0</v>
      </c>
      <c r="AK1227">
        <v>600</v>
      </c>
      <c r="AL1227">
        <v>0</v>
      </c>
      <c r="AM1227">
        <v>119.05</v>
      </c>
      <c r="AN1227">
        <v>-35.72</v>
      </c>
      <c r="AO1227">
        <v>0</v>
      </c>
      <c r="AP1227">
        <v>478.33</v>
      </c>
      <c r="AT1227" t="str">
        <f t="shared" si="238"/>
        <v>9791137602663</v>
      </c>
      <c r="AV1227" t="str">
        <f t="shared" si="239"/>
        <v>판타지 웹소설 &gt; 퓨전 판타지</v>
      </c>
    </row>
    <row r="1228" spans="1:48" x14ac:dyDescent="0.4">
      <c r="A1228">
        <v>2313012849</v>
      </c>
      <c r="B1228">
        <v>2313013004</v>
      </c>
      <c r="C1228" t="str">
        <f>T("디버프 마스터 156화")</f>
        <v>디버프 마스터 156화</v>
      </c>
      <c r="D1228" t="str">
        <f>T("156")</f>
        <v>156</v>
      </c>
      <c r="E1228" t="str">
        <f t="shared" si="236"/>
        <v>담화공</v>
      </c>
      <c r="H1228" t="str">
        <f t="shared" si="240"/>
        <v>스토리위즈</v>
      </c>
      <c r="I1228" t="str">
        <f t="shared" si="237"/>
        <v>디버프 마스터</v>
      </c>
      <c r="J1228">
        <v>100</v>
      </c>
      <c r="K1228">
        <v>700</v>
      </c>
      <c r="L1228">
        <v>7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700</v>
      </c>
      <c r="AH1228">
        <v>7</v>
      </c>
      <c r="AI1228">
        <v>0</v>
      </c>
      <c r="AJ1228">
        <v>0</v>
      </c>
      <c r="AK1228">
        <v>600</v>
      </c>
      <c r="AL1228">
        <v>0</v>
      </c>
      <c r="AM1228">
        <v>119.05</v>
      </c>
      <c r="AN1228">
        <v>-35.72</v>
      </c>
      <c r="AO1228">
        <v>0</v>
      </c>
      <c r="AP1228">
        <v>478.33</v>
      </c>
      <c r="AT1228" t="str">
        <f t="shared" si="238"/>
        <v>9791137602663</v>
      </c>
      <c r="AV1228" t="str">
        <f t="shared" si="239"/>
        <v>판타지 웹소설 &gt; 퓨전 판타지</v>
      </c>
    </row>
    <row r="1229" spans="1:48" x14ac:dyDescent="0.4">
      <c r="A1229">
        <v>2313012849</v>
      </c>
      <c r="B1229">
        <v>2313013005</v>
      </c>
      <c r="C1229" t="str">
        <f>T("디버프 마스터 157화")</f>
        <v>디버프 마스터 157화</v>
      </c>
      <c r="D1229" t="str">
        <f>T("157")</f>
        <v>157</v>
      </c>
      <c r="E1229" t="str">
        <f t="shared" si="236"/>
        <v>담화공</v>
      </c>
      <c r="H1229" t="str">
        <f t="shared" si="240"/>
        <v>스토리위즈</v>
      </c>
      <c r="I1229" t="str">
        <f t="shared" si="237"/>
        <v>디버프 마스터</v>
      </c>
      <c r="J1229">
        <v>100</v>
      </c>
      <c r="K1229">
        <v>700</v>
      </c>
      <c r="L1229">
        <v>7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700</v>
      </c>
      <c r="AH1229">
        <v>7</v>
      </c>
      <c r="AI1229">
        <v>0</v>
      </c>
      <c r="AJ1229">
        <v>0</v>
      </c>
      <c r="AK1229">
        <v>600</v>
      </c>
      <c r="AL1229">
        <v>0</v>
      </c>
      <c r="AM1229">
        <v>119.05</v>
      </c>
      <c r="AN1229">
        <v>-35.72</v>
      </c>
      <c r="AO1229">
        <v>0</v>
      </c>
      <c r="AP1229">
        <v>478.33</v>
      </c>
      <c r="AT1229" t="str">
        <f t="shared" si="238"/>
        <v>9791137602663</v>
      </c>
      <c r="AV1229" t="str">
        <f t="shared" si="239"/>
        <v>판타지 웹소설 &gt; 퓨전 판타지</v>
      </c>
    </row>
    <row r="1230" spans="1:48" x14ac:dyDescent="0.4">
      <c r="A1230">
        <v>2313012849</v>
      </c>
      <c r="B1230">
        <v>2313013006</v>
      </c>
      <c r="C1230" t="str">
        <f>T("디버프 마스터 158화")</f>
        <v>디버프 마스터 158화</v>
      </c>
      <c r="D1230" t="str">
        <f>T("158")</f>
        <v>158</v>
      </c>
      <c r="E1230" t="str">
        <f t="shared" si="236"/>
        <v>담화공</v>
      </c>
      <c r="H1230" t="str">
        <f t="shared" si="240"/>
        <v>스토리위즈</v>
      </c>
      <c r="I1230" t="str">
        <f t="shared" si="237"/>
        <v>디버프 마스터</v>
      </c>
      <c r="J1230">
        <v>100</v>
      </c>
      <c r="K1230">
        <v>700</v>
      </c>
      <c r="L1230">
        <v>7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700</v>
      </c>
      <c r="AH1230">
        <v>7</v>
      </c>
      <c r="AI1230">
        <v>0</v>
      </c>
      <c r="AJ1230">
        <v>0</v>
      </c>
      <c r="AK1230">
        <v>600</v>
      </c>
      <c r="AL1230">
        <v>0</v>
      </c>
      <c r="AM1230">
        <v>119.05</v>
      </c>
      <c r="AN1230">
        <v>-35.72</v>
      </c>
      <c r="AO1230">
        <v>0</v>
      </c>
      <c r="AP1230">
        <v>478.33</v>
      </c>
      <c r="AT1230" t="str">
        <f t="shared" si="238"/>
        <v>9791137602663</v>
      </c>
      <c r="AV1230" t="str">
        <f t="shared" si="239"/>
        <v>판타지 웹소설 &gt; 퓨전 판타지</v>
      </c>
    </row>
    <row r="1231" spans="1:48" x14ac:dyDescent="0.4">
      <c r="A1231">
        <v>2313012849</v>
      </c>
      <c r="B1231">
        <v>2313013007</v>
      </c>
      <c r="C1231" t="str">
        <f>T("디버프 마스터 159화")</f>
        <v>디버프 마스터 159화</v>
      </c>
      <c r="D1231" t="str">
        <f>T("159")</f>
        <v>159</v>
      </c>
      <c r="E1231" t="str">
        <f t="shared" si="236"/>
        <v>담화공</v>
      </c>
      <c r="H1231" t="str">
        <f t="shared" si="240"/>
        <v>스토리위즈</v>
      </c>
      <c r="I1231" t="str">
        <f t="shared" si="237"/>
        <v>디버프 마스터</v>
      </c>
      <c r="J1231">
        <v>100</v>
      </c>
      <c r="K1231">
        <v>700</v>
      </c>
      <c r="L1231">
        <v>7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700</v>
      </c>
      <c r="AH1231">
        <v>7</v>
      </c>
      <c r="AI1231">
        <v>0</v>
      </c>
      <c r="AJ1231">
        <v>0</v>
      </c>
      <c r="AK1231">
        <v>600</v>
      </c>
      <c r="AL1231">
        <v>0</v>
      </c>
      <c r="AM1231">
        <v>119.05</v>
      </c>
      <c r="AN1231">
        <v>-35.72</v>
      </c>
      <c r="AO1231">
        <v>0</v>
      </c>
      <c r="AP1231">
        <v>478.33</v>
      </c>
      <c r="AT1231" t="str">
        <f t="shared" si="238"/>
        <v>9791137602663</v>
      </c>
      <c r="AV1231" t="str">
        <f t="shared" si="239"/>
        <v>판타지 웹소설 &gt; 퓨전 판타지</v>
      </c>
    </row>
    <row r="1232" spans="1:48" x14ac:dyDescent="0.4">
      <c r="A1232">
        <v>2313012849</v>
      </c>
      <c r="B1232">
        <v>2313013008</v>
      </c>
      <c r="C1232" t="str">
        <f>T("디버프 마스터 160화")</f>
        <v>디버프 마스터 160화</v>
      </c>
      <c r="D1232" t="str">
        <f>T("160")</f>
        <v>160</v>
      </c>
      <c r="E1232" t="str">
        <f t="shared" si="236"/>
        <v>담화공</v>
      </c>
      <c r="H1232" t="str">
        <f t="shared" si="240"/>
        <v>스토리위즈</v>
      </c>
      <c r="I1232" t="str">
        <f t="shared" si="237"/>
        <v>디버프 마스터</v>
      </c>
      <c r="J1232">
        <v>100</v>
      </c>
      <c r="K1232">
        <v>700</v>
      </c>
      <c r="L1232">
        <v>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700</v>
      </c>
      <c r="AH1232">
        <v>7</v>
      </c>
      <c r="AI1232">
        <v>0</v>
      </c>
      <c r="AJ1232">
        <v>0</v>
      </c>
      <c r="AK1232">
        <v>600</v>
      </c>
      <c r="AL1232">
        <v>0</v>
      </c>
      <c r="AM1232">
        <v>119.05</v>
      </c>
      <c r="AN1232">
        <v>-35.72</v>
      </c>
      <c r="AO1232">
        <v>0</v>
      </c>
      <c r="AP1232">
        <v>478.33</v>
      </c>
      <c r="AT1232" t="str">
        <f t="shared" si="238"/>
        <v>9791137602663</v>
      </c>
      <c r="AV1232" t="str">
        <f t="shared" si="239"/>
        <v>판타지 웹소설 &gt; 퓨전 판타지</v>
      </c>
    </row>
    <row r="1233" spans="1:48" x14ac:dyDescent="0.4">
      <c r="A1233">
        <v>2313012849</v>
      </c>
      <c r="B1233">
        <v>2313013009</v>
      </c>
      <c r="C1233" t="str">
        <f>T("디버프 마스터 161화")</f>
        <v>디버프 마스터 161화</v>
      </c>
      <c r="D1233" t="str">
        <f>T("161")</f>
        <v>161</v>
      </c>
      <c r="E1233" t="str">
        <f t="shared" si="236"/>
        <v>담화공</v>
      </c>
      <c r="H1233" t="str">
        <f t="shared" si="240"/>
        <v>스토리위즈</v>
      </c>
      <c r="I1233" t="str">
        <f t="shared" si="237"/>
        <v>디버프 마스터</v>
      </c>
      <c r="J1233">
        <v>100</v>
      </c>
      <c r="K1233">
        <v>700</v>
      </c>
      <c r="L1233">
        <v>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700</v>
      </c>
      <c r="AH1233">
        <v>7</v>
      </c>
      <c r="AI1233">
        <v>0</v>
      </c>
      <c r="AJ1233">
        <v>0</v>
      </c>
      <c r="AK1233">
        <v>600</v>
      </c>
      <c r="AL1233">
        <v>0</v>
      </c>
      <c r="AM1233">
        <v>119.05</v>
      </c>
      <c r="AN1233">
        <v>-35.72</v>
      </c>
      <c r="AO1233">
        <v>0</v>
      </c>
      <c r="AP1233">
        <v>478.33</v>
      </c>
      <c r="AT1233" t="str">
        <f t="shared" si="238"/>
        <v>9791137602663</v>
      </c>
      <c r="AV1233" t="str">
        <f t="shared" si="239"/>
        <v>판타지 웹소설 &gt; 퓨전 판타지</v>
      </c>
    </row>
    <row r="1234" spans="1:48" x14ac:dyDescent="0.4">
      <c r="A1234">
        <v>2313012849</v>
      </c>
      <c r="B1234">
        <v>2313013010</v>
      </c>
      <c r="C1234" t="str">
        <f>T("디버프 마스터 162화")</f>
        <v>디버프 마스터 162화</v>
      </c>
      <c r="D1234" t="str">
        <f>T("162")</f>
        <v>162</v>
      </c>
      <c r="E1234" t="str">
        <f t="shared" si="236"/>
        <v>담화공</v>
      </c>
      <c r="H1234" t="str">
        <f t="shared" si="240"/>
        <v>스토리위즈</v>
      </c>
      <c r="I1234" t="str">
        <f t="shared" si="237"/>
        <v>디버프 마스터</v>
      </c>
      <c r="J1234">
        <v>100</v>
      </c>
      <c r="K1234">
        <v>700</v>
      </c>
      <c r="L1234">
        <v>7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700</v>
      </c>
      <c r="AH1234">
        <v>7</v>
      </c>
      <c r="AI1234">
        <v>0</v>
      </c>
      <c r="AJ1234">
        <v>0</v>
      </c>
      <c r="AK1234">
        <v>600</v>
      </c>
      <c r="AL1234">
        <v>0</v>
      </c>
      <c r="AM1234">
        <v>119.05</v>
      </c>
      <c r="AN1234">
        <v>-35.72</v>
      </c>
      <c r="AO1234">
        <v>0</v>
      </c>
      <c r="AP1234">
        <v>478.33</v>
      </c>
      <c r="AT1234" t="str">
        <f t="shared" si="238"/>
        <v>9791137602663</v>
      </c>
      <c r="AV1234" t="str">
        <f t="shared" si="239"/>
        <v>판타지 웹소설 &gt; 퓨전 판타지</v>
      </c>
    </row>
    <row r="1235" spans="1:48" x14ac:dyDescent="0.4">
      <c r="A1235">
        <v>2313012849</v>
      </c>
      <c r="B1235">
        <v>2313013011</v>
      </c>
      <c r="C1235" t="str">
        <f>T("디버프 마스터 163화")</f>
        <v>디버프 마스터 163화</v>
      </c>
      <c r="D1235" t="str">
        <f>T("163")</f>
        <v>163</v>
      </c>
      <c r="E1235" t="str">
        <f t="shared" si="236"/>
        <v>담화공</v>
      </c>
      <c r="H1235" t="str">
        <f t="shared" si="240"/>
        <v>스토리위즈</v>
      </c>
      <c r="I1235" t="str">
        <f t="shared" si="237"/>
        <v>디버프 마스터</v>
      </c>
      <c r="J1235">
        <v>100</v>
      </c>
      <c r="K1235">
        <v>700</v>
      </c>
      <c r="L1235">
        <v>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700</v>
      </c>
      <c r="AH1235">
        <v>7</v>
      </c>
      <c r="AI1235">
        <v>0</v>
      </c>
      <c r="AJ1235">
        <v>0</v>
      </c>
      <c r="AK1235">
        <v>600</v>
      </c>
      <c r="AL1235">
        <v>0</v>
      </c>
      <c r="AM1235">
        <v>119.05</v>
      </c>
      <c r="AN1235">
        <v>-35.72</v>
      </c>
      <c r="AO1235">
        <v>0</v>
      </c>
      <c r="AP1235">
        <v>478.33</v>
      </c>
      <c r="AT1235" t="str">
        <f t="shared" si="238"/>
        <v>9791137602663</v>
      </c>
      <c r="AV1235" t="str">
        <f t="shared" si="239"/>
        <v>판타지 웹소설 &gt; 퓨전 판타지</v>
      </c>
    </row>
    <row r="1236" spans="1:48" x14ac:dyDescent="0.4">
      <c r="A1236">
        <v>2313012849</v>
      </c>
      <c r="B1236">
        <v>2313013012</v>
      </c>
      <c r="C1236" t="str">
        <f>T("디버프 마스터 164화")</f>
        <v>디버프 마스터 164화</v>
      </c>
      <c r="D1236" t="str">
        <f>T("164")</f>
        <v>164</v>
      </c>
      <c r="E1236" t="str">
        <f t="shared" si="236"/>
        <v>담화공</v>
      </c>
      <c r="H1236" t="str">
        <f t="shared" si="240"/>
        <v>스토리위즈</v>
      </c>
      <c r="I1236" t="str">
        <f t="shared" si="237"/>
        <v>디버프 마스터</v>
      </c>
      <c r="J1236">
        <v>100</v>
      </c>
      <c r="K1236">
        <v>700</v>
      </c>
      <c r="L1236">
        <v>7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700</v>
      </c>
      <c r="AH1236">
        <v>7</v>
      </c>
      <c r="AI1236">
        <v>0</v>
      </c>
      <c r="AJ1236">
        <v>0</v>
      </c>
      <c r="AK1236">
        <v>600</v>
      </c>
      <c r="AL1236">
        <v>0</v>
      </c>
      <c r="AM1236">
        <v>119.05</v>
      </c>
      <c r="AN1236">
        <v>-35.72</v>
      </c>
      <c r="AO1236">
        <v>0</v>
      </c>
      <c r="AP1236">
        <v>478.33</v>
      </c>
      <c r="AT1236" t="str">
        <f t="shared" si="238"/>
        <v>9791137602663</v>
      </c>
      <c r="AV1236" t="str">
        <f t="shared" si="239"/>
        <v>판타지 웹소설 &gt; 퓨전 판타지</v>
      </c>
    </row>
    <row r="1237" spans="1:48" x14ac:dyDescent="0.4">
      <c r="A1237">
        <v>2313012849</v>
      </c>
      <c r="B1237">
        <v>2313013013</v>
      </c>
      <c r="C1237" t="str">
        <f>T("디버프 마스터 165화")</f>
        <v>디버프 마스터 165화</v>
      </c>
      <c r="D1237" t="str">
        <f>T("165")</f>
        <v>165</v>
      </c>
      <c r="E1237" t="str">
        <f t="shared" si="236"/>
        <v>담화공</v>
      </c>
      <c r="H1237" t="str">
        <f t="shared" si="240"/>
        <v>스토리위즈</v>
      </c>
      <c r="I1237" t="str">
        <f t="shared" si="237"/>
        <v>디버프 마스터</v>
      </c>
      <c r="J1237">
        <v>100</v>
      </c>
      <c r="K1237">
        <v>700</v>
      </c>
      <c r="L1237">
        <v>7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700</v>
      </c>
      <c r="AH1237">
        <v>7</v>
      </c>
      <c r="AI1237">
        <v>0</v>
      </c>
      <c r="AJ1237">
        <v>0</v>
      </c>
      <c r="AK1237">
        <v>600</v>
      </c>
      <c r="AL1237">
        <v>0</v>
      </c>
      <c r="AM1237">
        <v>119.05</v>
      </c>
      <c r="AN1237">
        <v>-35.72</v>
      </c>
      <c r="AO1237">
        <v>0</v>
      </c>
      <c r="AP1237">
        <v>478.33</v>
      </c>
      <c r="AT1237" t="str">
        <f t="shared" si="238"/>
        <v>9791137602663</v>
      </c>
      <c r="AV1237" t="str">
        <f t="shared" si="239"/>
        <v>판타지 웹소설 &gt; 퓨전 판타지</v>
      </c>
    </row>
    <row r="1238" spans="1:48" x14ac:dyDescent="0.4">
      <c r="A1238">
        <v>2313012849</v>
      </c>
      <c r="B1238">
        <v>2313013014</v>
      </c>
      <c r="C1238" t="str">
        <f>T("디버프 마스터 166화")</f>
        <v>디버프 마스터 166화</v>
      </c>
      <c r="D1238" t="str">
        <f>T("166")</f>
        <v>166</v>
      </c>
      <c r="E1238" t="str">
        <f t="shared" si="236"/>
        <v>담화공</v>
      </c>
      <c r="H1238" t="str">
        <f t="shared" si="240"/>
        <v>스토리위즈</v>
      </c>
      <c r="I1238" t="str">
        <f t="shared" si="237"/>
        <v>디버프 마스터</v>
      </c>
      <c r="J1238">
        <v>100</v>
      </c>
      <c r="K1238">
        <v>700</v>
      </c>
      <c r="L1238">
        <v>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700</v>
      </c>
      <c r="AH1238">
        <v>7</v>
      </c>
      <c r="AI1238">
        <v>0</v>
      </c>
      <c r="AJ1238">
        <v>0</v>
      </c>
      <c r="AK1238">
        <v>600</v>
      </c>
      <c r="AL1238">
        <v>0</v>
      </c>
      <c r="AM1238">
        <v>119.05</v>
      </c>
      <c r="AN1238">
        <v>-35.72</v>
      </c>
      <c r="AO1238">
        <v>0</v>
      </c>
      <c r="AP1238">
        <v>478.33</v>
      </c>
      <c r="AT1238" t="str">
        <f t="shared" si="238"/>
        <v>9791137602663</v>
      </c>
      <c r="AV1238" t="str">
        <f t="shared" si="239"/>
        <v>판타지 웹소설 &gt; 퓨전 판타지</v>
      </c>
    </row>
    <row r="1239" spans="1:48" x14ac:dyDescent="0.4">
      <c r="A1239">
        <v>2313012849</v>
      </c>
      <c r="B1239">
        <v>2313013015</v>
      </c>
      <c r="C1239" t="str">
        <f>T("디버프 마스터 167화")</f>
        <v>디버프 마스터 167화</v>
      </c>
      <c r="D1239" t="str">
        <f>T("167")</f>
        <v>167</v>
      </c>
      <c r="E1239" t="str">
        <f t="shared" si="236"/>
        <v>담화공</v>
      </c>
      <c r="H1239" t="str">
        <f t="shared" si="240"/>
        <v>스토리위즈</v>
      </c>
      <c r="I1239" t="str">
        <f t="shared" si="237"/>
        <v>디버프 마스터</v>
      </c>
      <c r="J1239">
        <v>100</v>
      </c>
      <c r="K1239">
        <v>700</v>
      </c>
      <c r="L1239">
        <v>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700</v>
      </c>
      <c r="AH1239">
        <v>7</v>
      </c>
      <c r="AI1239">
        <v>0</v>
      </c>
      <c r="AJ1239">
        <v>0</v>
      </c>
      <c r="AK1239">
        <v>600</v>
      </c>
      <c r="AL1239">
        <v>0</v>
      </c>
      <c r="AM1239">
        <v>119.05</v>
      </c>
      <c r="AN1239">
        <v>-35.72</v>
      </c>
      <c r="AO1239">
        <v>0</v>
      </c>
      <c r="AP1239">
        <v>478.33</v>
      </c>
      <c r="AT1239" t="str">
        <f t="shared" si="238"/>
        <v>9791137602663</v>
      </c>
      <c r="AV1239" t="str">
        <f t="shared" si="239"/>
        <v>판타지 웹소설 &gt; 퓨전 판타지</v>
      </c>
    </row>
    <row r="1240" spans="1:48" x14ac:dyDescent="0.4">
      <c r="A1240">
        <v>2313012849</v>
      </c>
      <c r="B1240">
        <v>2313013016</v>
      </c>
      <c r="C1240" t="str">
        <f>T("디버프 마스터 168화")</f>
        <v>디버프 마스터 168화</v>
      </c>
      <c r="D1240" t="str">
        <f>T("168")</f>
        <v>168</v>
      </c>
      <c r="E1240" t="str">
        <f t="shared" si="236"/>
        <v>담화공</v>
      </c>
      <c r="H1240" t="str">
        <f t="shared" si="240"/>
        <v>스토리위즈</v>
      </c>
      <c r="I1240" t="str">
        <f t="shared" si="237"/>
        <v>디버프 마스터</v>
      </c>
      <c r="J1240">
        <v>100</v>
      </c>
      <c r="K1240">
        <v>700</v>
      </c>
      <c r="L1240">
        <v>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700</v>
      </c>
      <c r="AH1240">
        <v>7</v>
      </c>
      <c r="AI1240">
        <v>0</v>
      </c>
      <c r="AJ1240">
        <v>0</v>
      </c>
      <c r="AK1240">
        <v>600</v>
      </c>
      <c r="AL1240">
        <v>0</v>
      </c>
      <c r="AM1240">
        <v>119.05</v>
      </c>
      <c r="AN1240">
        <v>-35.72</v>
      </c>
      <c r="AO1240">
        <v>0</v>
      </c>
      <c r="AP1240">
        <v>478.33</v>
      </c>
      <c r="AT1240" t="str">
        <f t="shared" si="238"/>
        <v>9791137602663</v>
      </c>
      <c r="AV1240" t="str">
        <f t="shared" si="239"/>
        <v>판타지 웹소설 &gt; 퓨전 판타지</v>
      </c>
    </row>
    <row r="1241" spans="1:48" x14ac:dyDescent="0.4">
      <c r="A1241">
        <v>2313012849</v>
      </c>
      <c r="B1241">
        <v>2313013017</v>
      </c>
      <c r="C1241" t="str">
        <f>T("디버프 마스터 169화")</f>
        <v>디버프 마스터 169화</v>
      </c>
      <c r="D1241" t="str">
        <f>T("169")</f>
        <v>169</v>
      </c>
      <c r="E1241" t="str">
        <f t="shared" si="236"/>
        <v>담화공</v>
      </c>
      <c r="H1241" t="str">
        <f t="shared" si="240"/>
        <v>스토리위즈</v>
      </c>
      <c r="I1241" t="str">
        <f t="shared" si="237"/>
        <v>디버프 마스터</v>
      </c>
      <c r="J1241">
        <v>100</v>
      </c>
      <c r="K1241">
        <v>700</v>
      </c>
      <c r="L1241">
        <v>7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700</v>
      </c>
      <c r="AH1241">
        <v>7</v>
      </c>
      <c r="AI1241">
        <v>0</v>
      </c>
      <c r="AJ1241">
        <v>0</v>
      </c>
      <c r="AK1241">
        <v>600</v>
      </c>
      <c r="AL1241">
        <v>0</v>
      </c>
      <c r="AM1241">
        <v>119.05</v>
      </c>
      <c r="AN1241">
        <v>-35.72</v>
      </c>
      <c r="AO1241">
        <v>0</v>
      </c>
      <c r="AP1241">
        <v>478.33</v>
      </c>
      <c r="AT1241" t="str">
        <f t="shared" si="238"/>
        <v>9791137602663</v>
      </c>
      <c r="AV1241" t="str">
        <f t="shared" si="239"/>
        <v>판타지 웹소설 &gt; 퓨전 판타지</v>
      </c>
    </row>
    <row r="1242" spans="1:48" x14ac:dyDescent="0.4">
      <c r="A1242">
        <v>2313012849</v>
      </c>
      <c r="B1242">
        <v>2313013018</v>
      </c>
      <c r="C1242" t="str">
        <f>T("디버프 마스터 170화")</f>
        <v>디버프 마스터 170화</v>
      </c>
      <c r="D1242" t="str">
        <f>T("170")</f>
        <v>170</v>
      </c>
      <c r="E1242" t="str">
        <f t="shared" si="236"/>
        <v>담화공</v>
      </c>
      <c r="H1242" t="str">
        <f t="shared" si="240"/>
        <v>스토리위즈</v>
      </c>
      <c r="I1242" t="str">
        <f t="shared" si="237"/>
        <v>디버프 마스터</v>
      </c>
      <c r="J1242">
        <v>100</v>
      </c>
      <c r="K1242">
        <v>700</v>
      </c>
      <c r="L1242">
        <v>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700</v>
      </c>
      <c r="AH1242">
        <v>7</v>
      </c>
      <c r="AI1242">
        <v>0</v>
      </c>
      <c r="AJ1242">
        <v>0</v>
      </c>
      <c r="AK1242">
        <v>600</v>
      </c>
      <c r="AL1242">
        <v>0</v>
      </c>
      <c r="AM1242">
        <v>119.05</v>
      </c>
      <c r="AN1242">
        <v>-35.72</v>
      </c>
      <c r="AO1242">
        <v>0</v>
      </c>
      <c r="AP1242">
        <v>478.33</v>
      </c>
      <c r="AT1242" t="str">
        <f t="shared" si="238"/>
        <v>9791137602663</v>
      </c>
      <c r="AV1242" t="str">
        <f t="shared" si="239"/>
        <v>판타지 웹소설 &gt; 퓨전 판타지</v>
      </c>
    </row>
    <row r="1243" spans="1:48" x14ac:dyDescent="0.4">
      <c r="A1243">
        <v>2313012849</v>
      </c>
      <c r="B1243">
        <v>2313013019</v>
      </c>
      <c r="C1243" t="str">
        <f>T("디버프 마스터 171화")</f>
        <v>디버프 마스터 171화</v>
      </c>
      <c r="D1243" t="str">
        <f>T("171")</f>
        <v>171</v>
      </c>
      <c r="E1243" t="str">
        <f t="shared" si="236"/>
        <v>담화공</v>
      </c>
      <c r="H1243" t="str">
        <f t="shared" si="240"/>
        <v>스토리위즈</v>
      </c>
      <c r="I1243" t="str">
        <f t="shared" si="237"/>
        <v>디버프 마스터</v>
      </c>
      <c r="J1243">
        <v>100</v>
      </c>
      <c r="K1243">
        <v>700</v>
      </c>
      <c r="L1243">
        <v>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700</v>
      </c>
      <c r="AH1243">
        <v>7</v>
      </c>
      <c r="AI1243">
        <v>0</v>
      </c>
      <c r="AJ1243">
        <v>0</v>
      </c>
      <c r="AK1243">
        <v>600</v>
      </c>
      <c r="AL1243">
        <v>0</v>
      </c>
      <c r="AM1243">
        <v>119.05</v>
      </c>
      <c r="AN1243">
        <v>-35.72</v>
      </c>
      <c r="AO1243">
        <v>0</v>
      </c>
      <c r="AP1243">
        <v>478.33</v>
      </c>
      <c r="AT1243" t="str">
        <f t="shared" si="238"/>
        <v>9791137602663</v>
      </c>
      <c r="AV1243" t="str">
        <f t="shared" si="239"/>
        <v>판타지 웹소설 &gt; 퓨전 판타지</v>
      </c>
    </row>
    <row r="1244" spans="1:48" x14ac:dyDescent="0.4">
      <c r="A1244">
        <v>2313012849</v>
      </c>
      <c r="B1244">
        <v>2313013020</v>
      </c>
      <c r="C1244" t="str">
        <f>T("디버프 마스터 172화")</f>
        <v>디버프 마스터 172화</v>
      </c>
      <c r="D1244" t="str">
        <f>T("172")</f>
        <v>172</v>
      </c>
      <c r="E1244" t="str">
        <f t="shared" si="236"/>
        <v>담화공</v>
      </c>
      <c r="H1244" t="str">
        <f t="shared" si="240"/>
        <v>스토리위즈</v>
      </c>
      <c r="I1244" t="str">
        <f t="shared" si="237"/>
        <v>디버프 마스터</v>
      </c>
      <c r="J1244">
        <v>100</v>
      </c>
      <c r="K1244">
        <v>700</v>
      </c>
      <c r="L1244">
        <v>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700</v>
      </c>
      <c r="AH1244">
        <v>7</v>
      </c>
      <c r="AI1244">
        <v>0</v>
      </c>
      <c r="AJ1244">
        <v>0</v>
      </c>
      <c r="AK1244">
        <v>600</v>
      </c>
      <c r="AL1244">
        <v>0</v>
      </c>
      <c r="AM1244">
        <v>119.05</v>
      </c>
      <c r="AN1244">
        <v>-35.72</v>
      </c>
      <c r="AO1244">
        <v>0</v>
      </c>
      <c r="AP1244">
        <v>478.33</v>
      </c>
      <c r="AT1244" t="str">
        <f t="shared" si="238"/>
        <v>9791137602663</v>
      </c>
      <c r="AV1244" t="str">
        <f t="shared" si="239"/>
        <v>판타지 웹소설 &gt; 퓨전 판타지</v>
      </c>
    </row>
    <row r="1245" spans="1:48" x14ac:dyDescent="0.4">
      <c r="A1245">
        <v>2313012849</v>
      </c>
      <c r="B1245">
        <v>2313013021</v>
      </c>
      <c r="C1245" t="str">
        <f>T("디버프 마스터 173화")</f>
        <v>디버프 마스터 173화</v>
      </c>
      <c r="D1245" t="str">
        <f>T("173")</f>
        <v>173</v>
      </c>
      <c r="E1245" t="str">
        <f t="shared" si="236"/>
        <v>담화공</v>
      </c>
      <c r="H1245" t="str">
        <f t="shared" si="240"/>
        <v>스토리위즈</v>
      </c>
      <c r="I1245" t="str">
        <f t="shared" si="237"/>
        <v>디버프 마스터</v>
      </c>
      <c r="J1245">
        <v>100</v>
      </c>
      <c r="K1245">
        <v>700</v>
      </c>
      <c r="L1245">
        <v>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700</v>
      </c>
      <c r="AH1245">
        <v>7</v>
      </c>
      <c r="AI1245">
        <v>0</v>
      </c>
      <c r="AJ1245">
        <v>0</v>
      </c>
      <c r="AK1245">
        <v>600</v>
      </c>
      <c r="AL1245">
        <v>0</v>
      </c>
      <c r="AM1245">
        <v>119.05</v>
      </c>
      <c r="AN1245">
        <v>-35.72</v>
      </c>
      <c r="AO1245">
        <v>0</v>
      </c>
      <c r="AP1245">
        <v>478.33</v>
      </c>
      <c r="AT1245" t="str">
        <f t="shared" si="238"/>
        <v>9791137602663</v>
      </c>
      <c r="AV1245" t="str">
        <f t="shared" si="239"/>
        <v>판타지 웹소설 &gt; 퓨전 판타지</v>
      </c>
    </row>
    <row r="1246" spans="1:48" x14ac:dyDescent="0.4">
      <c r="A1246">
        <v>2313012849</v>
      </c>
      <c r="B1246">
        <v>2313013044</v>
      </c>
      <c r="C1246" t="str">
        <f>T("디버프 마스터 196화")</f>
        <v>디버프 마스터 196화</v>
      </c>
      <c r="D1246" t="str">
        <f>T("196")</f>
        <v>196</v>
      </c>
      <c r="E1246" t="str">
        <f t="shared" si="236"/>
        <v>담화공</v>
      </c>
      <c r="H1246" t="str">
        <f t="shared" si="240"/>
        <v>스토리위즈</v>
      </c>
      <c r="I1246" t="str">
        <f t="shared" si="237"/>
        <v>디버프 마스터</v>
      </c>
      <c r="J1246">
        <v>100</v>
      </c>
      <c r="K1246">
        <v>700</v>
      </c>
      <c r="L1246">
        <v>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700</v>
      </c>
      <c r="AH1246">
        <v>7</v>
      </c>
      <c r="AI1246">
        <v>0</v>
      </c>
      <c r="AJ1246">
        <v>0</v>
      </c>
      <c r="AK1246">
        <v>700</v>
      </c>
      <c r="AL1246">
        <v>0</v>
      </c>
      <c r="AM1246">
        <v>0</v>
      </c>
      <c r="AN1246">
        <v>0</v>
      </c>
      <c r="AO1246">
        <v>0</v>
      </c>
      <c r="AP1246">
        <v>490</v>
      </c>
      <c r="AT1246" t="str">
        <f t="shared" si="238"/>
        <v>9791137602663</v>
      </c>
      <c r="AV1246" t="str">
        <f t="shared" si="239"/>
        <v>판타지 웹소설 &gt; 퓨전 판타지</v>
      </c>
    </row>
    <row r="1247" spans="1:48" x14ac:dyDescent="0.4">
      <c r="A1247">
        <v>2313012849</v>
      </c>
      <c r="B1247">
        <v>2313013046</v>
      </c>
      <c r="C1247" t="str">
        <f>T("디버프 마스터 198화")</f>
        <v>디버프 마스터 198화</v>
      </c>
      <c r="D1247" t="str">
        <f>T("198")</f>
        <v>198</v>
      </c>
      <c r="E1247" t="str">
        <f t="shared" si="236"/>
        <v>담화공</v>
      </c>
      <c r="H1247" t="str">
        <f t="shared" si="240"/>
        <v>스토리위즈</v>
      </c>
      <c r="I1247" t="str">
        <f t="shared" si="237"/>
        <v>디버프 마스터</v>
      </c>
      <c r="J1247">
        <v>100</v>
      </c>
      <c r="K1247">
        <v>700</v>
      </c>
      <c r="L1247">
        <v>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700</v>
      </c>
      <c r="AH1247">
        <v>7</v>
      </c>
      <c r="AI1247">
        <v>0</v>
      </c>
      <c r="AJ1247">
        <v>0</v>
      </c>
      <c r="AK1247">
        <v>600</v>
      </c>
      <c r="AL1247">
        <v>0</v>
      </c>
      <c r="AM1247">
        <v>119.05</v>
      </c>
      <c r="AN1247">
        <v>-35.72</v>
      </c>
      <c r="AO1247">
        <v>0</v>
      </c>
      <c r="AP1247">
        <v>478.33</v>
      </c>
      <c r="AT1247" t="str">
        <f t="shared" si="238"/>
        <v>9791137602663</v>
      </c>
      <c r="AV1247" t="str">
        <f t="shared" si="239"/>
        <v>판타지 웹소설 &gt; 퓨전 판타지</v>
      </c>
    </row>
    <row r="1248" spans="1:48" x14ac:dyDescent="0.4">
      <c r="A1248">
        <v>2313012849</v>
      </c>
      <c r="B1248">
        <v>2313013048</v>
      </c>
      <c r="C1248" t="str">
        <f>T("디버프 마스터 200화")</f>
        <v>디버프 마스터 200화</v>
      </c>
      <c r="D1248" t="str">
        <f>T("200")</f>
        <v>200</v>
      </c>
      <c r="E1248" t="str">
        <f t="shared" si="236"/>
        <v>담화공</v>
      </c>
      <c r="H1248" t="str">
        <f t="shared" si="240"/>
        <v>스토리위즈</v>
      </c>
      <c r="I1248" t="str">
        <f t="shared" si="237"/>
        <v>디버프 마스터</v>
      </c>
      <c r="J1248">
        <v>100</v>
      </c>
      <c r="K1248">
        <v>700</v>
      </c>
      <c r="L1248">
        <v>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700</v>
      </c>
      <c r="AH1248">
        <v>7</v>
      </c>
      <c r="AI1248">
        <v>0</v>
      </c>
      <c r="AJ1248">
        <v>0</v>
      </c>
      <c r="AK1248">
        <v>700</v>
      </c>
      <c r="AL1248">
        <v>0</v>
      </c>
      <c r="AM1248">
        <v>0</v>
      </c>
      <c r="AN1248">
        <v>0</v>
      </c>
      <c r="AO1248">
        <v>0</v>
      </c>
      <c r="AP1248">
        <v>490</v>
      </c>
      <c r="AT1248" t="str">
        <f t="shared" si="238"/>
        <v>9791137602663</v>
      </c>
      <c r="AV1248" t="str">
        <f t="shared" si="239"/>
        <v>판타지 웹소설 &gt; 퓨전 판타지</v>
      </c>
    </row>
    <row r="1249" spans="1:48" x14ac:dyDescent="0.4">
      <c r="A1249">
        <v>2313012849</v>
      </c>
      <c r="B1249">
        <v>2313013050</v>
      </c>
      <c r="C1249" t="str">
        <f>T("디버프 마스터 202화")</f>
        <v>디버프 마스터 202화</v>
      </c>
      <c r="D1249" t="str">
        <f>T("202")</f>
        <v>202</v>
      </c>
      <c r="E1249" t="str">
        <f t="shared" si="236"/>
        <v>담화공</v>
      </c>
      <c r="H1249" t="str">
        <f t="shared" si="240"/>
        <v>스토리위즈</v>
      </c>
      <c r="I1249" t="str">
        <f t="shared" si="237"/>
        <v>디버프 마스터</v>
      </c>
      <c r="J1249">
        <v>100</v>
      </c>
      <c r="K1249">
        <v>700</v>
      </c>
      <c r="L1249">
        <v>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700</v>
      </c>
      <c r="AH1249">
        <v>7</v>
      </c>
      <c r="AI1249">
        <v>0</v>
      </c>
      <c r="AJ1249">
        <v>0</v>
      </c>
      <c r="AK1249">
        <v>700</v>
      </c>
      <c r="AL1249">
        <v>0</v>
      </c>
      <c r="AM1249">
        <v>0</v>
      </c>
      <c r="AN1249">
        <v>0</v>
      </c>
      <c r="AO1249">
        <v>0</v>
      </c>
      <c r="AP1249">
        <v>490</v>
      </c>
      <c r="AT1249" t="str">
        <f t="shared" si="238"/>
        <v>9791137602663</v>
      </c>
      <c r="AV1249" t="str">
        <f t="shared" si="239"/>
        <v>판타지 웹소설 &gt; 퓨전 판타지</v>
      </c>
    </row>
    <row r="1250" spans="1:48" x14ac:dyDescent="0.4">
      <c r="A1250">
        <v>2313012849</v>
      </c>
      <c r="B1250">
        <v>2313013051</v>
      </c>
      <c r="C1250" t="str">
        <f>T("디버프 마스터 203화")</f>
        <v>디버프 마스터 203화</v>
      </c>
      <c r="D1250" t="str">
        <f>T("203")</f>
        <v>203</v>
      </c>
      <c r="E1250" t="str">
        <f t="shared" si="236"/>
        <v>담화공</v>
      </c>
      <c r="H1250" t="str">
        <f t="shared" si="240"/>
        <v>스토리위즈</v>
      </c>
      <c r="I1250" t="str">
        <f t="shared" si="237"/>
        <v>디버프 마스터</v>
      </c>
      <c r="J1250">
        <v>100</v>
      </c>
      <c r="K1250">
        <v>700</v>
      </c>
      <c r="L1250">
        <v>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700</v>
      </c>
      <c r="AH1250">
        <v>7</v>
      </c>
      <c r="AI1250">
        <v>0</v>
      </c>
      <c r="AJ1250">
        <v>0</v>
      </c>
      <c r="AK1250">
        <v>700</v>
      </c>
      <c r="AL1250">
        <v>0</v>
      </c>
      <c r="AM1250">
        <v>0</v>
      </c>
      <c r="AN1250">
        <v>0</v>
      </c>
      <c r="AO1250">
        <v>0</v>
      </c>
      <c r="AP1250">
        <v>490</v>
      </c>
      <c r="AT1250" t="str">
        <f t="shared" si="238"/>
        <v>9791137602663</v>
      </c>
      <c r="AV1250" t="str">
        <f t="shared" si="239"/>
        <v>판타지 웹소설 &gt; 퓨전 판타지</v>
      </c>
    </row>
    <row r="1251" spans="1:48" x14ac:dyDescent="0.4">
      <c r="A1251">
        <v>2313012849</v>
      </c>
      <c r="B1251">
        <v>2313013052</v>
      </c>
      <c r="C1251" t="str">
        <f>T("디버프 마스터 204화")</f>
        <v>디버프 마스터 204화</v>
      </c>
      <c r="D1251" t="str">
        <f>T("204")</f>
        <v>204</v>
      </c>
      <c r="E1251" t="str">
        <f t="shared" si="236"/>
        <v>담화공</v>
      </c>
      <c r="H1251" t="str">
        <f t="shared" si="240"/>
        <v>스토리위즈</v>
      </c>
      <c r="I1251" t="str">
        <f t="shared" si="237"/>
        <v>디버프 마스터</v>
      </c>
      <c r="J1251">
        <v>100</v>
      </c>
      <c r="K1251">
        <v>700</v>
      </c>
      <c r="L1251">
        <v>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700</v>
      </c>
      <c r="AH1251">
        <v>7</v>
      </c>
      <c r="AI1251">
        <v>0</v>
      </c>
      <c r="AJ1251">
        <v>0</v>
      </c>
      <c r="AK1251">
        <v>700</v>
      </c>
      <c r="AL1251">
        <v>0</v>
      </c>
      <c r="AM1251">
        <v>0</v>
      </c>
      <c r="AN1251">
        <v>0</v>
      </c>
      <c r="AO1251">
        <v>0</v>
      </c>
      <c r="AP1251">
        <v>490</v>
      </c>
      <c r="AT1251" t="str">
        <f t="shared" si="238"/>
        <v>9791137602663</v>
      </c>
      <c r="AV1251" t="str">
        <f t="shared" si="239"/>
        <v>판타지 웹소설 &gt; 퓨전 판타지</v>
      </c>
    </row>
    <row r="1252" spans="1:48" x14ac:dyDescent="0.4">
      <c r="A1252">
        <v>2313012849</v>
      </c>
      <c r="B1252">
        <v>2313013053</v>
      </c>
      <c r="C1252" t="str">
        <f>T("디버프 마스터 205화")</f>
        <v>디버프 마스터 205화</v>
      </c>
      <c r="D1252" t="str">
        <f>T("205")</f>
        <v>205</v>
      </c>
      <c r="E1252" t="str">
        <f t="shared" si="236"/>
        <v>담화공</v>
      </c>
      <c r="H1252" t="str">
        <f t="shared" si="240"/>
        <v>스토리위즈</v>
      </c>
      <c r="I1252" t="str">
        <f t="shared" si="237"/>
        <v>디버프 마스터</v>
      </c>
      <c r="J1252">
        <v>100</v>
      </c>
      <c r="K1252">
        <v>700</v>
      </c>
      <c r="L1252">
        <v>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700</v>
      </c>
      <c r="AH1252">
        <v>7</v>
      </c>
      <c r="AI1252">
        <v>0</v>
      </c>
      <c r="AJ1252">
        <v>0</v>
      </c>
      <c r="AK1252">
        <v>700</v>
      </c>
      <c r="AL1252">
        <v>0</v>
      </c>
      <c r="AM1252">
        <v>0</v>
      </c>
      <c r="AN1252">
        <v>0</v>
      </c>
      <c r="AO1252">
        <v>0</v>
      </c>
      <c r="AP1252">
        <v>490</v>
      </c>
      <c r="AT1252" t="str">
        <f t="shared" si="238"/>
        <v>9791137602663</v>
      </c>
      <c r="AV1252" t="str">
        <f t="shared" si="239"/>
        <v>판타지 웹소설 &gt; 퓨전 판타지</v>
      </c>
    </row>
    <row r="1253" spans="1:48" x14ac:dyDescent="0.4">
      <c r="A1253">
        <v>2313012849</v>
      </c>
      <c r="B1253">
        <v>2313013054</v>
      </c>
      <c r="C1253" t="str">
        <f>T("디버프 마스터 206화")</f>
        <v>디버프 마스터 206화</v>
      </c>
      <c r="D1253" t="str">
        <f>T("206")</f>
        <v>206</v>
      </c>
      <c r="E1253" t="str">
        <f t="shared" si="236"/>
        <v>담화공</v>
      </c>
      <c r="H1253" t="str">
        <f t="shared" si="240"/>
        <v>스토리위즈</v>
      </c>
      <c r="I1253" t="str">
        <f t="shared" si="237"/>
        <v>디버프 마스터</v>
      </c>
      <c r="J1253">
        <v>100</v>
      </c>
      <c r="K1253">
        <v>700</v>
      </c>
      <c r="L1253">
        <v>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700</v>
      </c>
      <c r="AH1253">
        <v>7</v>
      </c>
      <c r="AI1253">
        <v>0</v>
      </c>
      <c r="AJ1253">
        <v>0</v>
      </c>
      <c r="AK1253">
        <v>700</v>
      </c>
      <c r="AL1253">
        <v>0</v>
      </c>
      <c r="AM1253">
        <v>0</v>
      </c>
      <c r="AN1253">
        <v>0</v>
      </c>
      <c r="AO1253">
        <v>0</v>
      </c>
      <c r="AP1253">
        <v>490</v>
      </c>
      <c r="AT1253" t="str">
        <f t="shared" si="238"/>
        <v>9791137602663</v>
      </c>
      <c r="AV1253" t="str">
        <f t="shared" si="239"/>
        <v>판타지 웹소설 &gt; 퓨전 판타지</v>
      </c>
    </row>
    <row r="1254" spans="1:48" x14ac:dyDescent="0.4">
      <c r="A1254">
        <v>2313012849</v>
      </c>
      <c r="B1254">
        <v>2313013055</v>
      </c>
      <c r="C1254" t="str">
        <f>T("디버프 마스터 207화")</f>
        <v>디버프 마스터 207화</v>
      </c>
      <c r="D1254" t="str">
        <f>T("207")</f>
        <v>207</v>
      </c>
      <c r="E1254" t="str">
        <f t="shared" si="236"/>
        <v>담화공</v>
      </c>
      <c r="H1254" t="str">
        <f t="shared" si="240"/>
        <v>스토리위즈</v>
      </c>
      <c r="I1254" t="str">
        <f t="shared" si="237"/>
        <v>디버프 마스터</v>
      </c>
      <c r="J1254">
        <v>100</v>
      </c>
      <c r="K1254">
        <v>700</v>
      </c>
      <c r="L1254">
        <v>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700</v>
      </c>
      <c r="AH1254">
        <v>7</v>
      </c>
      <c r="AI1254">
        <v>0</v>
      </c>
      <c r="AJ1254">
        <v>0</v>
      </c>
      <c r="AK1254">
        <v>700</v>
      </c>
      <c r="AL1254">
        <v>0</v>
      </c>
      <c r="AM1254">
        <v>0</v>
      </c>
      <c r="AN1254">
        <v>0</v>
      </c>
      <c r="AO1254">
        <v>0</v>
      </c>
      <c r="AP1254">
        <v>490</v>
      </c>
      <c r="AT1254" t="str">
        <f t="shared" si="238"/>
        <v>9791137602663</v>
      </c>
      <c r="AV1254" t="str">
        <f t="shared" si="239"/>
        <v>판타지 웹소설 &gt; 퓨전 판타지</v>
      </c>
    </row>
    <row r="1255" spans="1:48" x14ac:dyDescent="0.4">
      <c r="A1255">
        <v>2313012849</v>
      </c>
      <c r="B1255">
        <v>2313013056</v>
      </c>
      <c r="C1255" t="str">
        <f>T("디버프 마스터 208화")</f>
        <v>디버프 마스터 208화</v>
      </c>
      <c r="D1255" t="str">
        <f>T("208")</f>
        <v>208</v>
      </c>
      <c r="E1255" t="str">
        <f t="shared" si="236"/>
        <v>담화공</v>
      </c>
      <c r="H1255" t="str">
        <f t="shared" si="240"/>
        <v>스토리위즈</v>
      </c>
      <c r="I1255" t="str">
        <f t="shared" si="237"/>
        <v>디버프 마스터</v>
      </c>
      <c r="J1255">
        <v>100</v>
      </c>
      <c r="K1255">
        <v>700</v>
      </c>
      <c r="L1255">
        <v>7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700</v>
      </c>
      <c r="AH1255">
        <v>7</v>
      </c>
      <c r="AI1255">
        <v>0</v>
      </c>
      <c r="AJ1255">
        <v>0</v>
      </c>
      <c r="AK1255">
        <v>700</v>
      </c>
      <c r="AL1255">
        <v>0</v>
      </c>
      <c r="AM1255">
        <v>0</v>
      </c>
      <c r="AN1255">
        <v>0</v>
      </c>
      <c r="AO1255">
        <v>0</v>
      </c>
      <c r="AP1255">
        <v>490</v>
      </c>
      <c r="AT1255" t="str">
        <f t="shared" si="238"/>
        <v>9791137602663</v>
      </c>
      <c r="AV1255" t="str">
        <f t="shared" si="239"/>
        <v>판타지 웹소설 &gt; 퓨전 판타지</v>
      </c>
    </row>
    <row r="1256" spans="1:48" x14ac:dyDescent="0.4">
      <c r="A1256">
        <v>2313012849</v>
      </c>
      <c r="B1256">
        <v>2313013057</v>
      </c>
      <c r="C1256" t="str">
        <f>T("디버프 마스터 209화")</f>
        <v>디버프 마스터 209화</v>
      </c>
      <c r="D1256" t="str">
        <f>T("209")</f>
        <v>209</v>
      </c>
      <c r="E1256" t="str">
        <f t="shared" si="236"/>
        <v>담화공</v>
      </c>
      <c r="H1256" t="str">
        <f t="shared" si="240"/>
        <v>스토리위즈</v>
      </c>
      <c r="I1256" t="str">
        <f t="shared" si="237"/>
        <v>디버프 마스터</v>
      </c>
      <c r="J1256">
        <v>100</v>
      </c>
      <c r="K1256">
        <v>700</v>
      </c>
      <c r="L1256">
        <v>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700</v>
      </c>
      <c r="AH1256">
        <v>7</v>
      </c>
      <c r="AI1256">
        <v>0</v>
      </c>
      <c r="AJ1256">
        <v>0</v>
      </c>
      <c r="AK1256">
        <v>700</v>
      </c>
      <c r="AL1256">
        <v>0</v>
      </c>
      <c r="AM1256">
        <v>0</v>
      </c>
      <c r="AN1256">
        <v>0</v>
      </c>
      <c r="AO1256">
        <v>0</v>
      </c>
      <c r="AP1256">
        <v>490</v>
      </c>
      <c r="AT1256" t="str">
        <f t="shared" si="238"/>
        <v>9791137602663</v>
      </c>
      <c r="AV1256" t="str">
        <f t="shared" si="239"/>
        <v>판타지 웹소설 &gt; 퓨전 판타지</v>
      </c>
    </row>
    <row r="1257" spans="1:48" x14ac:dyDescent="0.4">
      <c r="A1257">
        <v>2313012849</v>
      </c>
      <c r="B1257">
        <v>2313013058</v>
      </c>
      <c r="C1257" t="str">
        <f>T("디버프 마스터 210화")</f>
        <v>디버프 마스터 210화</v>
      </c>
      <c r="D1257" t="str">
        <f>T("210")</f>
        <v>210</v>
      </c>
      <c r="E1257" t="str">
        <f t="shared" si="236"/>
        <v>담화공</v>
      </c>
      <c r="H1257" t="str">
        <f t="shared" si="240"/>
        <v>스토리위즈</v>
      </c>
      <c r="I1257" t="str">
        <f t="shared" si="237"/>
        <v>디버프 마스터</v>
      </c>
      <c r="J1257">
        <v>100</v>
      </c>
      <c r="K1257">
        <v>700</v>
      </c>
      <c r="L1257">
        <v>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700</v>
      </c>
      <c r="AH1257">
        <v>7</v>
      </c>
      <c r="AI1257">
        <v>0</v>
      </c>
      <c r="AJ1257">
        <v>0</v>
      </c>
      <c r="AK1257">
        <v>700</v>
      </c>
      <c r="AL1257">
        <v>0</v>
      </c>
      <c r="AM1257">
        <v>0</v>
      </c>
      <c r="AN1257">
        <v>0</v>
      </c>
      <c r="AO1257">
        <v>0</v>
      </c>
      <c r="AP1257">
        <v>490</v>
      </c>
      <c r="AT1257" t="str">
        <f t="shared" si="238"/>
        <v>9791137602663</v>
      </c>
      <c r="AV1257" t="str">
        <f t="shared" si="239"/>
        <v>판타지 웹소설 &gt; 퓨전 판타지</v>
      </c>
    </row>
    <row r="1258" spans="1:48" x14ac:dyDescent="0.4">
      <c r="A1258">
        <v>2313012849</v>
      </c>
      <c r="B1258">
        <v>2313013059</v>
      </c>
      <c r="C1258" t="str">
        <f>T("디버프 마스터 211화")</f>
        <v>디버프 마스터 211화</v>
      </c>
      <c r="D1258" t="str">
        <f>T("211")</f>
        <v>211</v>
      </c>
      <c r="E1258" t="str">
        <f t="shared" si="236"/>
        <v>담화공</v>
      </c>
      <c r="H1258" t="str">
        <f t="shared" si="240"/>
        <v>스토리위즈</v>
      </c>
      <c r="I1258" t="str">
        <f t="shared" si="237"/>
        <v>디버프 마스터</v>
      </c>
      <c r="J1258">
        <v>100</v>
      </c>
      <c r="K1258">
        <v>700</v>
      </c>
      <c r="L1258">
        <v>7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700</v>
      </c>
      <c r="AH1258">
        <v>7</v>
      </c>
      <c r="AI1258">
        <v>0</v>
      </c>
      <c r="AJ1258">
        <v>0</v>
      </c>
      <c r="AK1258">
        <v>700</v>
      </c>
      <c r="AL1258">
        <v>0</v>
      </c>
      <c r="AM1258">
        <v>0</v>
      </c>
      <c r="AN1258">
        <v>0</v>
      </c>
      <c r="AO1258">
        <v>0</v>
      </c>
      <c r="AP1258">
        <v>490</v>
      </c>
      <c r="AT1258" t="str">
        <f t="shared" si="238"/>
        <v>9791137602663</v>
      </c>
      <c r="AV1258" t="str">
        <f t="shared" si="239"/>
        <v>판타지 웹소설 &gt; 퓨전 판타지</v>
      </c>
    </row>
    <row r="1259" spans="1:48" x14ac:dyDescent="0.4">
      <c r="A1259">
        <v>2313012849</v>
      </c>
      <c r="B1259">
        <v>2313013060</v>
      </c>
      <c r="C1259" t="str">
        <f>T("디버프 마스터 212화")</f>
        <v>디버프 마스터 212화</v>
      </c>
      <c r="D1259" t="str">
        <f>T("212")</f>
        <v>212</v>
      </c>
      <c r="E1259" t="str">
        <f t="shared" si="236"/>
        <v>담화공</v>
      </c>
      <c r="H1259" t="str">
        <f t="shared" si="240"/>
        <v>스토리위즈</v>
      </c>
      <c r="I1259" t="str">
        <f t="shared" si="237"/>
        <v>디버프 마스터</v>
      </c>
      <c r="J1259">
        <v>100</v>
      </c>
      <c r="K1259">
        <v>700</v>
      </c>
      <c r="L1259">
        <v>7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700</v>
      </c>
      <c r="AH1259">
        <v>7</v>
      </c>
      <c r="AI1259">
        <v>0</v>
      </c>
      <c r="AJ1259">
        <v>0</v>
      </c>
      <c r="AK1259">
        <v>700</v>
      </c>
      <c r="AL1259">
        <v>0</v>
      </c>
      <c r="AM1259">
        <v>0</v>
      </c>
      <c r="AN1259">
        <v>0</v>
      </c>
      <c r="AO1259">
        <v>0</v>
      </c>
      <c r="AP1259">
        <v>490</v>
      </c>
      <c r="AT1259" t="str">
        <f t="shared" si="238"/>
        <v>9791137602663</v>
      </c>
      <c r="AV1259" t="str">
        <f t="shared" si="239"/>
        <v>판타지 웹소설 &gt; 퓨전 판타지</v>
      </c>
    </row>
    <row r="1260" spans="1:48" x14ac:dyDescent="0.4">
      <c r="A1260">
        <v>2313012849</v>
      </c>
      <c r="B1260">
        <v>2313013061</v>
      </c>
      <c r="C1260" t="str">
        <f>T("디버프 마스터 213화")</f>
        <v>디버프 마스터 213화</v>
      </c>
      <c r="D1260" t="str">
        <f>T("213")</f>
        <v>213</v>
      </c>
      <c r="E1260" t="str">
        <f t="shared" si="236"/>
        <v>담화공</v>
      </c>
      <c r="H1260" t="str">
        <f t="shared" si="240"/>
        <v>스토리위즈</v>
      </c>
      <c r="I1260" t="str">
        <f t="shared" si="237"/>
        <v>디버프 마스터</v>
      </c>
      <c r="J1260">
        <v>100</v>
      </c>
      <c r="K1260">
        <v>700</v>
      </c>
      <c r="L1260">
        <v>7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700</v>
      </c>
      <c r="AH1260">
        <v>7</v>
      </c>
      <c r="AI1260">
        <v>0</v>
      </c>
      <c r="AJ1260">
        <v>0</v>
      </c>
      <c r="AK1260">
        <v>700</v>
      </c>
      <c r="AL1260">
        <v>0</v>
      </c>
      <c r="AM1260">
        <v>0</v>
      </c>
      <c r="AN1260">
        <v>0</v>
      </c>
      <c r="AO1260">
        <v>0</v>
      </c>
      <c r="AP1260">
        <v>490</v>
      </c>
      <c r="AT1260" t="str">
        <f t="shared" si="238"/>
        <v>9791137602663</v>
      </c>
      <c r="AV1260" t="str">
        <f t="shared" si="239"/>
        <v>판타지 웹소설 &gt; 퓨전 판타지</v>
      </c>
    </row>
    <row r="1261" spans="1:48" x14ac:dyDescent="0.4">
      <c r="A1261">
        <v>2313012849</v>
      </c>
      <c r="B1261">
        <v>2313013062</v>
      </c>
      <c r="C1261" t="str">
        <f>T("디버프 마스터 214화")</f>
        <v>디버프 마스터 214화</v>
      </c>
      <c r="D1261" t="str">
        <f>T("214")</f>
        <v>214</v>
      </c>
      <c r="E1261" t="str">
        <f t="shared" si="236"/>
        <v>담화공</v>
      </c>
      <c r="H1261" t="str">
        <f t="shared" si="240"/>
        <v>스토리위즈</v>
      </c>
      <c r="I1261" t="str">
        <f t="shared" si="237"/>
        <v>디버프 마스터</v>
      </c>
      <c r="J1261">
        <v>100</v>
      </c>
      <c r="K1261">
        <v>700</v>
      </c>
      <c r="L1261">
        <v>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700</v>
      </c>
      <c r="AH1261">
        <v>7</v>
      </c>
      <c r="AI1261">
        <v>0</v>
      </c>
      <c r="AJ1261">
        <v>0</v>
      </c>
      <c r="AK1261">
        <v>700</v>
      </c>
      <c r="AL1261">
        <v>0</v>
      </c>
      <c r="AM1261">
        <v>0</v>
      </c>
      <c r="AN1261">
        <v>0</v>
      </c>
      <c r="AO1261">
        <v>0</v>
      </c>
      <c r="AP1261">
        <v>490</v>
      </c>
      <c r="AT1261" t="str">
        <f t="shared" si="238"/>
        <v>9791137602663</v>
      </c>
      <c r="AV1261" t="str">
        <f t="shared" si="239"/>
        <v>판타지 웹소설 &gt; 퓨전 판타지</v>
      </c>
    </row>
    <row r="1262" spans="1:48" x14ac:dyDescent="0.4">
      <c r="A1262">
        <v>2313012849</v>
      </c>
      <c r="B1262">
        <v>2313013063</v>
      </c>
      <c r="C1262" t="str">
        <f>T("디버프 마스터 215화")</f>
        <v>디버프 마스터 215화</v>
      </c>
      <c r="D1262" t="str">
        <f>T("215")</f>
        <v>215</v>
      </c>
      <c r="E1262" t="str">
        <f t="shared" si="236"/>
        <v>담화공</v>
      </c>
      <c r="H1262" t="str">
        <f t="shared" si="240"/>
        <v>스토리위즈</v>
      </c>
      <c r="I1262" t="str">
        <f t="shared" si="237"/>
        <v>디버프 마스터</v>
      </c>
      <c r="J1262">
        <v>100</v>
      </c>
      <c r="K1262">
        <v>700</v>
      </c>
      <c r="L1262">
        <v>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700</v>
      </c>
      <c r="AH1262">
        <v>7</v>
      </c>
      <c r="AI1262">
        <v>0</v>
      </c>
      <c r="AJ1262">
        <v>0</v>
      </c>
      <c r="AK1262">
        <v>700</v>
      </c>
      <c r="AL1262">
        <v>0</v>
      </c>
      <c r="AM1262">
        <v>0</v>
      </c>
      <c r="AN1262">
        <v>0</v>
      </c>
      <c r="AO1262">
        <v>0</v>
      </c>
      <c r="AP1262">
        <v>490</v>
      </c>
      <c r="AT1262" t="str">
        <f t="shared" si="238"/>
        <v>9791137602663</v>
      </c>
      <c r="AV1262" t="str">
        <f t="shared" si="239"/>
        <v>판타지 웹소설 &gt; 퓨전 판타지</v>
      </c>
    </row>
    <row r="1263" spans="1:48" x14ac:dyDescent="0.4">
      <c r="A1263">
        <v>2313012849</v>
      </c>
      <c r="B1263">
        <v>2313013064</v>
      </c>
      <c r="C1263" t="str">
        <f>T("디버프 마스터 216화")</f>
        <v>디버프 마스터 216화</v>
      </c>
      <c r="D1263" t="str">
        <f>T("216")</f>
        <v>216</v>
      </c>
      <c r="E1263" t="str">
        <f t="shared" si="236"/>
        <v>담화공</v>
      </c>
      <c r="H1263" t="str">
        <f t="shared" si="240"/>
        <v>스토리위즈</v>
      </c>
      <c r="I1263" t="str">
        <f t="shared" si="237"/>
        <v>디버프 마스터</v>
      </c>
      <c r="J1263">
        <v>100</v>
      </c>
      <c r="K1263">
        <v>700</v>
      </c>
      <c r="L1263">
        <v>7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700</v>
      </c>
      <c r="AH1263">
        <v>7</v>
      </c>
      <c r="AI1263">
        <v>0</v>
      </c>
      <c r="AJ1263">
        <v>0</v>
      </c>
      <c r="AK1263">
        <v>700</v>
      </c>
      <c r="AL1263">
        <v>0</v>
      </c>
      <c r="AM1263">
        <v>0</v>
      </c>
      <c r="AN1263">
        <v>0</v>
      </c>
      <c r="AO1263">
        <v>0</v>
      </c>
      <c r="AP1263">
        <v>490</v>
      </c>
      <c r="AT1263" t="str">
        <f t="shared" si="238"/>
        <v>9791137602663</v>
      </c>
      <c r="AV1263" t="str">
        <f t="shared" si="239"/>
        <v>판타지 웹소설 &gt; 퓨전 판타지</v>
      </c>
    </row>
    <row r="1264" spans="1:48" x14ac:dyDescent="0.4">
      <c r="A1264">
        <v>2313012849</v>
      </c>
      <c r="B1264">
        <v>2313013065</v>
      </c>
      <c r="C1264" t="str">
        <f>T("디버프 마스터 217화")</f>
        <v>디버프 마스터 217화</v>
      </c>
      <c r="D1264" t="str">
        <f>T("217")</f>
        <v>217</v>
      </c>
      <c r="E1264" t="str">
        <f t="shared" si="236"/>
        <v>담화공</v>
      </c>
      <c r="H1264" t="str">
        <f t="shared" si="240"/>
        <v>스토리위즈</v>
      </c>
      <c r="I1264" t="str">
        <f t="shared" si="237"/>
        <v>디버프 마스터</v>
      </c>
      <c r="J1264">
        <v>100</v>
      </c>
      <c r="K1264">
        <v>700</v>
      </c>
      <c r="L1264">
        <v>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700</v>
      </c>
      <c r="AH1264">
        <v>7</v>
      </c>
      <c r="AI1264">
        <v>0</v>
      </c>
      <c r="AJ1264">
        <v>0</v>
      </c>
      <c r="AK1264">
        <v>700</v>
      </c>
      <c r="AL1264">
        <v>0</v>
      </c>
      <c r="AM1264">
        <v>0</v>
      </c>
      <c r="AN1264">
        <v>0</v>
      </c>
      <c r="AO1264">
        <v>0</v>
      </c>
      <c r="AP1264">
        <v>490</v>
      </c>
      <c r="AT1264" t="str">
        <f t="shared" si="238"/>
        <v>9791137602663</v>
      </c>
      <c r="AV1264" t="str">
        <f t="shared" si="239"/>
        <v>판타지 웹소설 &gt; 퓨전 판타지</v>
      </c>
    </row>
    <row r="1265" spans="1:48" x14ac:dyDescent="0.4">
      <c r="A1265">
        <v>2313012849</v>
      </c>
      <c r="B1265">
        <v>2313013066</v>
      </c>
      <c r="C1265" t="str">
        <f>T("디버프 마스터 218화")</f>
        <v>디버프 마스터 218화</v>
      </c>
      <c r="D1265" t="str">
        <f>T("218")</f>
        <v>218</v>
      </c>
      <c r="E1265" t="str">
        <f t="shared" si="236"/>
        <v>담화공</v>
      </c>
      <c r="H1265" t="str">
        <f t="shared" si="240"/>
        <v>스토리위즈</v>
      </c>
      <c r="I1265" t="str">
        <f t="shared" si="237"/>
        <v>디버프 마스터</v>
      </c>
      <c r="J1265">
        <v>100</v>
      </c>
      <c r="K1265">
        <v>700</v>
      </c>
      <c r="L1265">
        <v>7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700</v>
      </c>
      <c r="AH1265">
        <v>7</v>
      </c>
      <c r="AI1265">
        <v>0</v>
      </c>
      <c r="AJ1265">
        <v>0</v>
      </c>
      <c r="AK1265">
        <v>700</v>
      </c>
      <c r="AL1265">
        <v>0</v>
      </c>
      <c r="AM1265">
        <v>0</v>
      </c>
      <c r="AN1265">
        <v>0</v>
      </c>
      <c r="AO1265">
        <v>0</v>
      </c>
      <c r="AP1265">
        <v>490</v>
      </c>
      <c r="AT1265" t="str">
        <f t="shared" si="238"/>
        <v>9791137602663</v>
      </c>
      <c r="AV1265" t="str">
        <f t="shared" si="239"/>
        <v>판타지 웹소설 &gt; 퓨전 판타지</v>
      </c>
    </row>
    <row r="1266" spans="1:48" x14ac:dyDescent="0.4">
      <c r="A1266">
        <v>2313012849</v>
      </c>
      <c r="B1266">
        <v>2313013067</v>
      </c>
      <c r="C1266" t="str">
        <f>T("디버프 마스터 219화")</f>
        <v>디버프 마스터 219화</v>
      </c>
      <c r="D1266" t="str">
        <f>T("219")</f>
        <v>219</v>
      </c>
      <c r="E1266" t="str">
        <f t="shared" si="236"/>
        <v>담화공</v>
      </c>
      <c r="H1266" t="str">
        <f t="shared" si="240"/>
        <v>스토리위즈</v>
      </c>
      <c r="I1266" t="str">
        <f t="shared" si="237"/>
        <v>디버프 마스터</v>
      </c>
      <c r="J1266">
        <v>100</v>
      </c>
      <c r="K1266">
        <v>700</v>
      </c>
      <c r="L1266">
        <v>7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700</v>
      </c>
      <c r="AH1266">
        <v>7</v>
      </c>
      <c r="AI1266">
        <v>0</v>
      </c>
      <c r="AJ1266">
        <v>0</v>
      </c>
      <c r="AK1266">
        <v>700</v>
      </c>
      <c r="AL1266">
        <v>0</v>
      </c>
      <c r="AM1266">
        <v>0</v>
      </c>
      <c r="AN1266">
        <v>0</v>
      </c>
      <c r="AO1266">
        <v>0</v>
      </c>
      <c r="AP1266">
        <v>490</v>
      </c>
      <c r="AT1266" t="str">
        <f t="shared" si="238"/>
        <v>9791137602663</v>
      </c>
      <c r="AV1266" t="str">
        <f t="shared" si="239"/>
        <v>판타지 웹소설 &gt; 퓨전 판타지</v>
      </c>
    </row>
    <row r="1267" spans="1:48" x14ac:dyDescent="0.4">
      <c r="A1267">
        <v>2313012849</v>
      </c>
      <c r="B1267">
        <v>2313013068</v>
      </c>
      <c r="C1267" t="str">
        <f>T("디버프 마스터 220화")</f>
        <v>디버프 마스터 220화</v>
      </c>
      <c r="D1267" t="str">
        <f>T("220")</f>
        <v>220</v>
      </c>
      <c r="E1267" t="str">
        <f t="shared" si="236"/>
        <v>담화공</v>
      </c>
      <c r="H1267" t="str">
        <f t="shared" si="240"/>
        <v>스토리위즈</v>
      </c>
      <c r="I1267" t="str">
        <f t="shared" si="237"/>
        <v>디버프 마스터</v>
      </c>
      <c r="J1267">
        <v>100</v>
      </c>
      <c r="K1267">
        <v>700</v>
      </c>
      <c r="L1267">
        <v>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700</v>
      </c>
      <c r="AH1267">
        <v>7</v>
      </c>
      <c r="AI1267">
        <v>0</v>
      </c>
      <c r="AJ1267">
        <v>0</v>
      </c>
      <c r="AK1267">
        <v>700</v>
      </c>
      <c r="AL1267">
        <v>0</v>
      </c>
      <c r="AM1267">
        <v>0</v>
      </c>
      <c r="AN1267">
        <v>0</v>
      </c>
      <c r="AO1267">
        <v>0</v>
      </c>
      <c r="AP1267">
        <v>490</v>
      </c>
      <c r="AT1267" t="str">
        <f t="shared" si="238"/>
        <v>9791137602663</v>
      </c>
      <c r="AV1267" t="str">
        <f t="shared" si="239"/>
        <v>판타지 웹소설 &gt; 퓨전 판타지</v>
      </c>
    </row>
    <row r="1268" spans="1:48" x14ac:dyDescent="0.4">
      <c r="A1268">
        <v>2313012849</v>
      </c>
      <c r="B1268">
        <v>2313013069</v>
      </c>
      <c r="C1268" t="str">
        <f>T("디버프 마스터 221화")</f>
        <v>디버프 마스터 221화</v>
      </c>
      <c r="D1268" t="str">
        <f>T("221")</f>
        <v>221</v>
      </c>
      <c r="E1268" t="str">
        <f t="shared" ref="E1268:E1285" si="241">T("담화공")</f>
        <v>담화공</v>
      </c>
      <c r="H1268" t="str">
        <f t="shared" si="240"/>
        <v>스토리위즈</v>
      </c>
      <c r="I1268" t="str">
        <f t="shared" ref="I1268:I1285" si="242">T("디버프 마스터")</f>
        <v>디버프 마스터</v>
      </c>
      <c r="J1268">
        <v>100</v>
      </c>
      <c r="K1268">
        <v>700</v>
      </c>
      <c r="L1268">
        <v>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700</v>
      </c>
      <c r="AH1268">
        <v>7</v>
      </c>
      <c r="AI1268">
        <v>0</v>
      </c>
      <c r="AJ1268">
        <v>0</v>
      </c>
      <c r="AK1268">
        <v>700</v>
      </c>
      <c r="AL1268">
        <v>0</v>
      </c>
      <c r="AM1268">
        <v>0</v>
      </c>
      <c r="AN1268">
        <v>0</v>
      </c>
      <c r="AO1268">
        <v>0</v>
      </c>
      <c r="AP1268">
        <v>490</v>
      </c>
      <c r="AT1268" t="str">
        <f t="shared" ref="AT1268:AT1285" si="243">T("9791137602663")</f>
        <v>9791137602663</v>
      </c>
      <c r="AV1268" t="str">
        <f t="shared" ref="AV1268:AV1285" si="244">T("판타지 웹소설 &gt; 퓨전 판타지")</f>
        <v>판타지 웹소설 &gt; 퓨전 판타지</v>
      </c>
    </row>
    <row r="1269" spans="1:48" x14ac:dyDescent="0.4">
      <c r="A1269">
        <v>2313012849</v>
      </c>
      <c r="B1269">
        <v>2313013070</v>
      </c>
      <c r="C1269" t="str">
        <f>T("디버프 마스터 222화")</f>
        <v>디버프 마스터 222화</v>
      </c>
      <c r="D1269" t="str">
        <f>T("222")</f>
        <v>222</v>
      </c>
      <c r="E1269" t="str">
        <f t="shared" si="241"/>
        <v>담화공</v>
      </c>
      <c r="H1269" t="str">
        <f t="shared" si="240"/>
        <v>스토리위즈</v>
      </c>
      <c r="I1269" t="str">
        <f t="shared" si="242"/>
        <v>디버프 마스터</v>
      </c>
      <c r="J1269">
        <v>100</v>
      </c>
      <c r="K1269">
        <v>700</v>
      </c>
      <c r="L1269">
        <v>7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700</v>
      </c>
      <c r="AH1269">
        <v>7</v>
      </c>
      <c r="AI1269">
        <v>0</v>
      </c>
      <c r="AJ1269">
        <v>0</v>
      </c>
      <c r="AK1269">
        <v>700</v>
      </c>
      <c r="AL1269">
        <v>0</v>
      </c>
      <c r="AM1269">
        <v>0</v>
      </c>
      <c r="AN1269">
        <v>0</v>
      </c>
      <c r="AO1269">
        <v>0</v>
      </c>
      <c r="AP1269">
        <v>490</v>
      </c>
      <c r="AT1269" t="str">
        <f t="shared" si="243"/>
        <v>9791137602663</v>
      </c>
      <c r="AV1269" t="str">
        <f t="shared" si="244"/>
        <v>판타지 웹소설 &gt; 퓨전 판타지</v>
      </c>
    </row>
    <row r="1270" spans="1:48" x14ac:dyDescent="0.4">
      <c r="A1270">
        <v>2313012849</v>
      </c>
      <c r="B1270">
        <v>2313013071</v>
      </c>
      <c r="C1270" t="str">
        <f>T("디버프 마스터 223화")</f>
        <v>디버프 마스터 223화</v>
      </c>
      <c r="D1270" t="str">
        <f>T("223")</f>
        <v>223</v>
      </c>
      <c r="E1270" t="str">
        <f t="shared" si="241"/>
        <v>담화공</v>
      </c>
      <c r="H1270" t="str">
        <f t="shared" si="240"/>
        <v>스토리위즈</v>
      </c>
      <c r="I1270" t="str">
        <f t="shared" si="242"/>
        <v>디버프 마스터</v>
      </c>
      <c r="J1270">
        <v>100</v>
      </c>
      <c r="K1270">
        <v>700</v>
      </c>
      <c r="L1270">
        <v>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700</v>
      </c>
      <c r="AH1270">
        <v>7</v>
      </c>
      <c r="AI1270">
        <v>0</v>
      </c>
      <c r="AJ1270">
        <v>0</v>
      </c>
      <c r="AK1270">
        <v>700</v>
      </c>
      <c r="AL1270">
        <v>0</v>
      </c>
      <c r="AM1270">
        <v>0</v>
      </c>
      <c r="AN1270">
        <v>0</v>
      </c>
      <c r="AO1270">
        <v>0</v>
      </c>
      <c r="AP1270">
        <v>490</v>
      </c>
      <c r="AT1270" t="str">
        <f t="shared" si="243"/>
        <v>9791137602663</v>
      </c>
      <c r="AV1270" t="str">
        <f t="shared" si="244"/>
        <v>판타지 웹소설 &gt; 퓨전 판타지</v>
      </c>
    </row>
    <row r="1271" spans="1:48" x14ac:dyDescent="0.4">
      <c r="A1271">
        <v>2313012849</v>
      </c>
      <c r="B1271">
        <v>2313013072</v>
      </c>
      <c r="C1271" t="str">
        <f>T("디버프 마스터 224화")</f>
        <v>디버프 마스터 224화</v>
      </c>
      <c r="D1271" t="str">
        <f>T("224")</f>
        <v>224</v>
      </c>
      <c r="E1271" t="str">
        <f t="shared" si="241"/>
        <v>담화공</v>
      </c>
      <c r="H1271" t="str">
        <f t="shared" si="240"/>
        <v>스토리위즈</v>
      </c>
      <c r="I1271" t="str">
        <f t="shared" si="242"/>
        <v>디버프 마스터</v>
      </c>
      <c r="J1271">
        <v>100</v>
      </c>
      <c r="K1271">
        <v>700</v>
      </c>
      <c r="L1271">
        <v>7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700</v>
      </c>
      <c r="AH1271">
        <v>7</v>
      </c>
      <c r="AI1271">
        <v>0</v>
      </c>
      <c r="AJ1271">
        <v>0</v>
      </c>
      <c r="AK1271">
        <v>700</v>
      </c>
      <c r="AL1271">
        <v>0</v>
      </c>
      <c r="AM1271">
        <v>0</v>
      </c>
      <c r="AN1271">
        <v>0</v>
      </c>
      <c r="AO1271">
        <v>0</v>
      </c>
      <c r="AP1271">
        <v>490</v>
      </c>
      <c r="AT1271" t="str">
        <f t="shared" si="243"/>
        <v>9791137602663</v>
      </c>
      <c r="AV1271" t="str">
        <f t="shared" si="244"/>
        <v>판타지 웹소설 &gt; 퓨전 판타지</v>
      </c>
    </row>
    <row r="1272" spans="1:48" x14ac:dyDescent="0.4">
      <c r="A1272">
        <v>2313012849</v>
      </c>
      <c r="B1272">
        <v>2313013073</v>
      </c>
      <c r="C1272" t="str">
        <f>T("디버프 마스터 225화")</f>
        <v>디버프 마스터 225화</v>
      </c>
      <c r="D1272" t="str">
        <f>T("225")</f>
        <v>225</v>
      </c>
      <c r="E1272" t="str">
        <f t="shared" si="241"/>
        <v>담화공</v>
      </c>
      <c r="H1272" t="str">
        <f t="shared" si="240"/>
        <v>스토리위즈</v>
      </c>
      <c r="I1272" t="str">
        <f t="shared" si="242"/>
        <v>디버프 마스터</v>
      </c>
      <c r="J1272">
        <v>100</v>
      </c>
      <c r="K1272">
        <v>700</v>
      </c>
      <c r="L1272">
        <v>7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700</v>
      </c>
      <c r="AH1272">
        <v>7</v>
      </c>
      <c r="AI1272">
        <v>0</v>
      </c>
      <c r="AJ1272">
        <v>0</v>
      </c>
      <c r="AK1272">
        <v>700</v>
      </c>
      <c r="AL1272">
        <v>0</v>
      </c>
      <c r="AM1272">
        <v>0</v>
      </c>
      <c r="AN1272">
        <v>0</v>
      </c>
      <c r="AO1272">
        <v>0</v>
      </c>
      <c r="AP1272">
        <v>490</v>
      </c>
      <c r="AT1272" t="str">
        <f t="shared" si="243"/>
        <v>9791137602663</v>
      </c>
      <c r="AV1272" t="str">
        <f t="shared" si="244"/>
        <v>판타지 웹소설 &gt; 퓨전 판타지</v>
      </c>
    </row>
    <row r="1273" spans="1:48" x14ac:dyDescent="0.4">
      <c r="A1273">
        <v>2313012849</v>
      </c>
      <c r="B1273">
        <v>2313013074</v>
      </c>
      <c r="C1273" t="str">
        <f>T("디버프 마스터 226화")</f>
        <v>디버프 마스터 226화</v>
      </c>
      <c r="D1273" t="str">
        <f>T("226")</f>
        <v>226</v>
      </c>
      <c r="E1273" t="str">
        <f t="shared" si="241"/>
        <v>담화공</v>
      </c>
      <c r="H1273" t="str">
        <f t="shared" si="240"/>
        <v>스토리위즈</v>
      </c>
      <c r="I1273" t="str">
        <f t="shared" si="242"/>
        <v>디버프 마스터</v>
      </c>
      <c r="J1273">
        <v>100</v>
      </c>
      <c r="K1273">
        <v>700</v>
      </c>
      <c r="L1273">
        <v>7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700</v>
      </c>
      <c r="AH1273">
        <v>7</v>
      </c>
      <c r="AI1273">
        <v>0</v>
      </c>
      <c r="AJ1273">
        <v>0</v>
      </c>
      <c r="AK1273">
        <v>700</v>
      </c>
      <c r="AL1273">
        <v>0</v>
      </c>
      <c r="AM1273">
        <v>0</v>
      </c>
      <c r="AN1273">
        <v>0</v>
      </c>
      <c r="AO1273">
        <v>0</v>
      </c>
      <c r="AP1273">
        <v>490</v>
      </c>
      <c r="AT1273" t="str">
        <f t="shared" si="243"/>
        <v>9791137602663</v>
      </c>
      <c r="AV1273" t="str">
        <f t="shared" si="244"/>
        <v>판타지 웹소설 &gt; 퓨전 판타지</v>
      </c>
    </row>
    <row r="1274" spans="1:48" x14ac:dyDescent="0.4">
      <c r="A1274">
        <v>2313012849</v>
      </c>
      <c r="B1274">
        <v>2313013075</v>
      </c>
      <c r="C1274" t="str">
        <f>T("디버프 마스터 227화")</f>
        <v>디버프 마스터 227화</v>
      </c>
      <c r="D1274" t="str">
        <f>T("227")</f>
        <v>227</v>
      </c>
      <c r="E1274" t="str">
        <f t="shared" si="241"/>
        <v>담화공</v>
      </c>
      <c r="H1274" t="str">
        <f t="shared" si="240"/>
        <v>스토리위즈</v>
      </c>
      <c r="I1274" t="str">
        <f t="shared" si="242"/>
        <v>디버프 마스터</v>
      </c>
      <c r="J1274">
        <v>100</v>
      </c>
      <c r="K1274">
        <v>700</v>
      </c>
      <c r="L1274">
        <v>7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700</v>
      </c>
      <c r="AH1274">
        <v>7</v>
      </c>
      <c r="AI1274">
        <v>0</v>
      </c>
      <c r="AJ1274">
        <v>0</v>
      </c>
      <c r="AK1274">
        <v>700</v>
      </c>
      <c r="AL1274">
        <v>0</v>
      </c>
      <c r="AM1274">
        <v>0</v>
      </c>
      <c r="AN1274">
        <v>0</v>
      </c>
      <c r="AO1274">
        <v>0</v>
      </c>
      <c r="AP1274">
        <v>490</v>
      </c>
      <c r="AT1274" t="str">
        <f t="shared" si="243"/>
        <v>9791137602663</v>
      </c>
      <c r="AV1274" t="str">
        <f t="shared" si="244"/>
        <v>판타지 웹소설 &gt; 퓨전 판타지</v>
      </c>
    </row>
    <row r="1275" spans="1:48" x14ac:dyDescent="0.4">
      <c r="A1275">
        <v>2313012849</v>
      </c>
      <c r="B1275">
        <v>2313013076</v>
      </c>
      <c r="C1275" t="str">
        <f>T("디버프 마스터 228화")</f>
        <v>디버프 마스터 228화</v>
      </c>
      <c r="D1275" t="str">
        <f>T("228")</f>
        <v>228</v>
      </c>
      <c r="E1275" t="str">
        <f t="shared" si="241"/>
        <v>담화공</v>
      </c>
      <c r="H1275" t="str">
        <f t="shared" si="240"/>
        <v>스토리위즈</v>
      </c>
      <c r="I1275" t="str">
        <f t="shared" si="242"/>
        <v>디버프 마스터</v>
      </c>
      <c r="J1275">
        <v>100</v>
      </c>
      <c r="K1275">
        <v>700</v>
      </c>
      <c r="L1275">
        <v>7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700</v>
      </c>
      <c r="AH1275">
        <v>7</v>
      </c>
      <c r="AI1275">
        <v>0</v>
      </c>
      <c r="AJ1275">
        <v>0</v>
      </c>
      <c r="AK1275">
        <v>700</v>
      </c>
      <c r="AL1275">
        <v>0</v>
      </c>
      <c r="AM1275">
        <v>0</v>
      </c>
      <c r="AN1275">
        <v>0</v>
      </c>
      <c r="AO1275">
        <v>0</v>
      </c>
      <c r="AP1275">
        <v>490</v>
      </c>
      <c r="AT1275" t="str">
        <f t="shared" si="243"/>
        <v>9791137602663</v>
      </c>
      <c r="AV1275" t="str">
        <f t="shared" si="244"/>
        <v>판타지 웹소설 &gt; 퓨전 판타지</v>
      </c>
    </row>
    <row r="1276" spans="1:48" x14ac:dyDescent="0.4">
      <c r="A1276">
        <v>2313012849</v>
      </c>
      <c r="B1276">
        <v>2313013077</v>
      </c>
      <c r="C1276" t="str">
        <f>T("디버프 마스터 229화")</f>
        <v>디버프 마스터 229화</v>
      </c>
      <c r="D1276" t="str">
        <f>T("229")</f>
        <v>229</v>
      </c>
      <c r="E1276" t="str">
        <f t="shared" si="241"/>
        <v>담화공</v>
      </c>
      <c r="H1276" t="str">
        <f t="shared" si="240"/>
        <v>스토리위즈</v>
      </c>
      <c r="I1276" t="str">
        <f t="shared" si="242"/>
        <v>디버프 마스터</v>
      </c>
      <c r="J1276">
        <v>100</v>
      </c>
      <c r="K1276">
        <v>700</v>
      </c>
      <c r="L1276">
        <v>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700</v>
      </c>
      <c r="AH1276">
        <v>7</v>
      </c>
      <c r="AI1276">
        <v>0</v>
      </c>
      <c r="AJ1276">
        <v>0</v>
      </c>
      <c r="AK1276">
        <v>700</v>
      </c>
      <c r="AL1276">
        <v>0</v>
      </c>
      <c r="AM1276">
        <v>0</v>
      </c>
      <c r="AN1276">
        <v>0</v>
      </c>
      <c r="AO1276">
        <v>0</v>
      </c>
      <c r="AP1276">
        <v>490</v>
      </c>
      <c r="AT1276" t="str">
        <f t="shared" si="243"/>
        <v>9791137602663</v>
      </c>
      <c r="AV1276" t="str">
        <f t="shared" si="244"/>
        <v>판타지 웹소설 &gt; 퓨전 판타지</v>
      </c>
    </row>
    <row r="1277" spans="1:48" x14ac:dyDescent="0.4">
      <c r="A1277">
        <v>2313012849</v>
      </c>
      <c r="B1277">
        <v>2313013078</v>
      </c>
      <c r="C1277" t="str">
        <f>T("디버프 마스터 230화")</f>
        <v>디버프 마스터 230화</v>
      </c>
      <c r="D1277" t="str">
        <f>T("230")</f>
        <v>230</v>
      </c>
      <c r="E1277" t="str">
        <f t="shared" si="241"/>
        <v>담화공</v>
      </c>
      <c r="H1277" t="str">
        <f t="shared" si="240"/>
        <v>스토리위즈</v>
      </c>
      <c r="I1277" t="str">
        <f t="shared" si="242"/>
        <v>디버프 마스터</v>
      </c>
      <c r="J1277">
        <v>100</v>
      </c>
      <c r="K1277">
        <v>700</v>
      </c>
      <c r="L1277">
        <v>7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700</v>
      </c>
      <c r="AH1277">
        <v>7</v>
      </c>
      <c r="AI1277">
        <v>0</v>
      </c>
      <c r="AJ1277">
        <v>0</v>
      </c>
      <c r="AK1277">
        <v>700</v>
      </c>
      <c r="AL1277">
        <v>0</v>
      </c>
      <c r="AM1277">
        <v>0</v>
      </c>
      <c r="AN1277">
        <v>0</v>
      </c>
      <c r="AO1277">
        <v>0</v>
      </c>
      <c r="AP1277">
        <v>490</v>
      </c>
      <c r="AT1277" t="str">
        <f t="shared" si="243"/>
        <v>9791137602663</v>
      </c>
      <c r="AV1277" t="str">
        <f t="shared" si="244"/>
        <v>판타지 웹소설 &gt; 퓨전 판타지</v>
      </c>
    </row>
    <row r="1278" spans="1:48" x14ac:dyDescent="0.4">
      <c r="A1278">
        <v>2313012849</v>
      </c>
      <c r="B1278">
        <v>2313013079</v>
      </c>
      <c r="C1278" t="str">
        <f>T("디버프 마스터 231화")</f>
        <v>디버프 마스터 231화</v>
      </c>
      <c r="D1278" t="str">
        <f>T("231")</f>
        <v>231</v>
      </c>
      <c r="E1278" t="str">
        <f t="shared" si="241"/>
        <v>담화공</v>
      </c>
      <c r="H1278" t="str">
        <f t="shared" si="240"/>
        <v>스토리위즈</v>
      </c>
      <c r="I1278" t="str">
        <f t="shared" si="242"/>
        <v>디버프 마스터</v>
      </c>
      <c r="J1278">
        <v>100</v>
      </c>
      <c r="K1278">
        <v>700</v>
      </c>
      <c r="L1278">
        <v>7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700</v>
      </c>
      <c r="AH1278">
        <v>7</v>
      </c>
      <c r="AI1278">
        <v>0</v>
      </c>
      <c r="AJ1278">
        <v>0</v>
      </c>
      <c r="AK1278">
        <v>700</v>
      </c>
      <c r="AL1278">
        <v>0</v>
      </c>
      <c r="AM1278">
        <v>0</v>
      </c>
      <c r="AN1278">
        <v>0</v>
      </c>
      <c r="AO1278">
        <v>0</v>
      </c>
      <c r="AP1278">
        <v>490</v>
      </c>
      <c r="AT1278" t="str">
        <f t="shared" si="243"/>
        <v>9791137602663</v>
      </c>
      <c r="AV1278" t="str">
        <f t="shared" si="244"/>
        <v>판타지 웹소설 &gt; 퓨전 판타지</v>
      </c>
    </row>
    <row r="1279" spans="1:48" x14ac:dyDescent="0.4">
      <c r="A1279">
        <v>2313012849</v>
      </c>
      <c r="B1279">
        <v>2313013080</v>
      </c>
      <c r="C1279" t="str">
        <f>T("디버프 마스터 232화")</f>
        <v>디버프 마스터 232화</v>
      </c>
      <c r="D1279" t="str">
        <f>T("232")</f>
        <v>232</v>
      </c>
      <c r="E1279" t="str">
        <f t="shared" si="241"/>
        <v>담화공</v>
      </c>
      <c r="H1279" t="str">
        <f t="shared" si="240"/>
        <v>스토리위즈</v>
      </c>
      <c r="I1279" t="str">
        <f t="shared" si="242"/>
        <v>디버프 마스터</v>
      </c>
      <c r="J1279">
        <v>100</v>
      </c>
      <c r="K1279">
        <v>700</v>
      </c>
      <c r="L1279">
        <v>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700</v>
      </c>
      <c r="AH1279">
        <v>7</v>
      </c>
      <c r="AI1279">
        <v>0</v>
      </c>
      <c r="AJ1279">
        <v>0</v>
      </c>
      <c r="AK1279">
        <v>700</v>
      </c>
      <c r="AL1279">
        <v>0</v>
      </c>
      <c r="AM1279">
        <v>0</v>
      </c>
      <c r="AN1279">
        <v>0</v>
      </c>
      <c r="AO1279">
        <v>0</v>
      </c>
      <c r="AP1279">
        <v>490</v>
      </c>
      <c r="AT1279" t="str">
        <f t="shared" si="243"/>
        <v>9791137602663</v>
      </c>
      <c r="AV1279" t="str">
        <f t="shared" si="244"/>
        <v>판타지 웹소설 &gt; 퓨전 판타지</v>
      </c>
    </row>
    <row r="1280" spans="1:48" x14ac:dyDescent="0.4">
      <c r="A1280">
        <v>2313012849</v>
      </c>
      <c r="B1280">
        <v>2313013082</v>
      </c>
      <c r="C1280" t="str">
        <f>T("디버프 마스터 234화")</f>
        <v>디버프 마스터 234화</v>
      </c>
      <c r="D1280" t="str">
        <f>T("234")</f>
        <v>234</v>
      </c>
      <c r="E1280" t="str">
        <f t="shared" si="241"/>
        <v>담화공</v>
      </c>
      <c r="H1280" t="str">
        <f t="shared" si="240"/>
        <v>스토리위즈</v>
      </c>
      <c r="I1280" t="str">
        <f t="shared" si="242"/>
        <v>디버프 마스터</v>
      </c>
      <c r="J1280">
        <v>100</v>
      </c>
      <c r="K1280">
        <v>700</v>
      </c>
      <c r="L1280">
        <v>7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700</v>
      </c>
      <c r="AH1280">
        <v>7</v>
      </c>
      <c r="AI1280">
        <v>0</v>
      </c>
      <c r="AJ1280">
        <v>0</v>
      </c>
      <c r="AK1280">
        <v>700</v>
      </c>
      <c r="AL1280">
        <v>0</v>
      </c>
      <c r="AM1280">
        <v>0</v>
      </c>
      <c r="AN1280">
        <v>0</v>
      </c>
      <c r="AO1280">
        <v>0</v>
      </c>
      <c r="AP1280">
        <v>490</v>
      </c>
      <c r="AT1280" t="str">
        <f t="shared" si="243"/>
        <v>9791137602663</v>
      </c>
      <c r="AV1280" t="str">
        <f t="shared" si="244"/>
        <v>판타지 웹소설 &gt; 퓨전 판타지</v>
      </c>
    </row>
    <row r="1281" spans="1:48" x14ac:dyDescent="0.4">
      <c r="A1281">
        <v>2313012849</v>
      </c>
      <c r="B1281">
        <v>2313013083</v>
      </c>
      <c r="C1281" t="str">
        <f>T("디버프 마스터 235화")</f>
        <v>디버프 마스터 235화</v>
      </c>
      <c r="D1281" t="str">
        <f>T("235")</f>
        <v>235</v>
      </c>
      <c r="E1281" t="str">
        <f t="shared" si="241"/>
        <v>담화공</v>
      </c>
      <c r="H1281" t="str">
        <f t="shared" si="240"/>
        <v>스토리위즈</v>
      </c>
      <c r="I1281" t="str">
        <f t="shared" si="242"/>
        <v>디버프 마스터</v>
      </c>
      <c r="J1281">
        <v>100</v>
      </c>
      <c r="K1281">
        <v>700</v>
      </c>
      <c r="L1281">
        <v>7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700</v>
      </c>
      <c r="AH1281">
        <v>7</v>
      </c>
      <c r="AI1281">
        <v>0</v>
      </c>
      <c r="AJ1281">
        <v>0</v>
      </c>
      <c r="AK1281">
        <v>700</v>
      </c>
      <c r="AL1281">
        <v>0</v>
      </c>
      <c r="AM1281">
        <v>0</v>
      </c>
      <c r="AN1281">
        <v>0</v>
      </c>
      <c r="AO1281">
        <v>0</v>
      </c>
      <c r="AP1281">
        <v>490</v>
      </c>
      <c r="AT1281" t="str">
        <f t="shared" si="243"/>
        <v>9791137602663</v>
      </c>
      <c r="AV1281" t="str">
        <f t="shared" si="244"/>
        <v>판타지 웹소설 &gt; 퓨전 판타지</v>
      </c>
    </row>
    <row r="1282" spans="1:48" x14ac:dyDescent="0.4">
      <c r="A1282">
        <v>2313012849</v>
      </c>
      <c r="B1282">
        <v>2313013084</v>
      </c>
      <c r="C1282" t="str">
        <f>T("디버프 마스터 236화")</f>
        <v>디버프 마스터 236화</v>
      </c>
      <c r="D1282" t="str">
        <f>T("236")</f>
        <v>236</v>
      </c>
      <c r="E1282" t="str">
        <f t="shared" si="241"/>
        <v>담화공</v>
      </c>
      <c r="H1282" t="str">
        <f t="shared" ref="H1282:H1333" si="245">T("스토리위즈")</f>
        <v>스토리위즈</v>
      </c>
      <c r="I1282" t="str">
        <f t="shared" si="242"/>
        <v>디버프 마스터</v>
      </c>
      <c r="J1282">
        <v>100</v>
      </c>
      <c r="K1282">
        <v>700</v>
      </c>
      <c r="L1282">
        <v>7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700</v>
      </c>
      <c r="AH1282">
        <v>7</v>
      </c>
      <c r="AI1282">
        <v>0</v>
      </c>
      <c r="AJ1282">
        <v>0</v>
      </c>
      <c r="AK1282">
        <v>700</v>
      </c>
      <c r="AL1282">
        <v>0</v>
      </c>
      <c r="AM1282">
        <v>0</v>
      </c>
      <c r="AN1282">
        <v>0</v>
      </c>
      <c r="AO1282">
        <v>0</v>
      </c>
      <c r="AP1282">
        <v>490</v>
      </c>
      <c r="AT1282" t="str">
        <f t="shared" si="243"/>
        <v>9791137602663</v>
      </c>
      <c r="AV1282" t="str">
        <f t="shared" si="244"/>
        <v>판타지 웹소설 &gt; 퓨전 판타지</v>
      </c>
    </row>
    <row r="1283" spans="1:48" x14ac:dyDescent="0.4">
      <c r="A1283">
        <v>2313012849</v>
      </c>
      <c r="B1283">
        <v>2313013085</v>
      </c>
      <c r="C1283" t="str">
        <f>T("디버프 마스터 237화")</f>
        <v>디버프 마스터 237화</v>
      </c>
      <c r="D1283" t="str">
        <f>T("237")</f>
        <v>237</v>
      </c>
      <c r="E1283" t="str">
        <f t="shared" si="241"/>
        <v>담화공</v>
      </c>
      <c r="H1283" t="str">
        <f t="shared" si="245"/>
        <v>스토리위즈</v>
      </c>
      <c r="I1283" t="str">
        <f t="shared" si="242"/>
        <v>디버프 마스터</v>
      </c>
      <c r="J1283">
        <v>100</v>
      </c>
      <c r="K1283">
        <v>700</v>
      </c>
      <c r="L1283">
        <v>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700</v>
      </c>
      <c r="AH1283">
        <v>7</v>
      </c>
      <c r="AI1283">
        <v>0</v>
      </c>
      <c r="AJ1283">
        <v>0</v>
      </c>
      <c r="AK1283">
        <v>700</v>
      </c>
      <c r="AL1283">
        <v>0</v>
      </c>
      <c r="AM1283">
        <v>0</v>
      </c>
      <c r="AN1283">
        <v>0</v>
      </c>
      <c r="AO1283">
        <v>0</v>
      </c>
      <c r="AP1283">
        <v>490</v>
      </c>
      <c r="AT1283" t="str">
        <f t="shared" si="243"/>
        <v>9791137602663</v>
      </c>
      <c r="AV1283" t="str">
        <f t="shared" si="244"/>
        <v>판타지 웹소설 &gt; 퓨전 판타지</v>
      </c>
    </row>
    <row r="1284" spans="1:48" x14ac:dyDescent="0.4">
      <c r="A1284">
        <v>2313012849</v>
      </c>
      <c r="B1284">
        <v>2313013086</v>
      </c>
      <c r="C1284" t="str">
        <f>T("디버프 마스터 238화")</f>
        <v>디버프 마스터 238화</v>
      </c>
      <c r="D1284" t="str">
        <f>T("238")</f>
        <v>238</v>
      </c>
      <c r="E1284" t="str">
        <f t="shared" si="241"/>
        <v>담화공</v>
      </c>
      <c r="H1284" t="str">
        <f t="shared" si="245"/>
        <v>스토리위즈</v>
      </c>
      <c r="I1284" t="str">
        <f t="shared" si="242"/>
        <v>디버프 마스터</v>
      </c>
      <c r="J1284">
        <v>100</v>
      </c>
      <c r="K1284">
        <v>700</v>
      </c>
      <c r="L1284">
        <v>7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700</v>
      </c>
      <c r="AH1284">
        <v>7</v>
      </c>
      <c r="AI1284">
        <v>0</v>
      </c>
      <c r="AJ1284">
        <v>0</v>
      </c>
      <c r="AK1284">
        <v>700</v>
      </c>
      <c r="AL1284">
        <v>0</v>
      </c>
      <c r="AM1284">
        <v>0</v>
      </c>
      <c r="AN1284">
        <v>0</v>
      </c>
      <c r="AO1284">
        <v>0</v>
      </c>
      <c r="AP1284">
        <v>490</v>
      </c>
      <c r="AT1284" t="str">
        <f t="shared" si="243"/>
        <v>9791137602663</v>
      </c>
      <c r="AV1284" t="str">
        <f t="shared" si="244"/>
        <v>판타지 웹소설 &gt; 퓨전 판타지</v>
      </c>
    </row>
    <row r="1285" spans="1:48" x14ac:dyDescent="0.4">
      <c r="A1285">
        <v>2313012849</v>
      </c>
      <c r="B1285">
        <v>2313013087</v>
      </c>
      <c r="C1285" t="str">
        <f>T("디버프 마스터 239화")</f>
        <v>디버프 마스터 239화</v>
      </c>
      <c r="D1285" t="str">
        <f>T("239")</f>
        <v>239</v>
      </c>
      <c r="E1285" t="str">
        <f t="shared" si="241"/>
        <v>담화공</v>
      </c>
      <c r="H1285" t="str">
        <f t="shared" si="245"/>
        <v>스토리위즈</v>
      </c>
      <c r="I1285" t="str">
        <f t="shared" si="242"/>
        <v>디버프 마스터</v>
      </c>
      <c r="J1285">
        <v>100</v>
      </c>
      <c r="K1285">
        <v>700</v>
      </c>
      <c r="L1285">
        <v>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700</v>
      </c>
      <c r="AH1285">
        <v>7</v>
      </c>
      <c r="AI1285">
        <v>0</v>
      </c>
      <c r="AJ1285">
        <v>0</v>
      </c>
      <c r="AK1285">
        <v>700</v>
      </c>
      <c r="AL1285">
        <v>0</v>
      </c>
      <c r="AM1285">
        <v>0</v>
      </c>
      <c r="AN1285">
        <v>0</v>
      </c>
      <c r="AO1285">
        <v>0</v>
      </c>
      <c r="AP1285">
        <v>490</v>
      </c>
      <c r="AT1285" t="str">
        <f t="shared" si="243"/>
        <v>9791137602663</v>
      </c>
      <c r="AV1285" t="str">
        <f t="shared" si="244"/>
        <v>판타지 웹소설 &gt; 퓨전 판타지</v>
      </c>
    </row>
    <row r="1286" spans="1:48" x14ac:dyDescent="0.4">
      <c r="A1286">
        <v>2313011400</v>
      </c>
      <c r="B1286">
        <v>2313011423</v>
      </c>
      <c r="C1286" t="str">
        <f>T("최종 보스 2권 2화")</f>
        <v>최종 보스 2권 2화</v>
      </c>
      <c r="D1286" t="str">
        <f>T("24")</f>
        <v>24</v>
      </c>
      <c r="E1286" t="str">
        <f t="shared" ref="E1286:E1327" si="246">T("무장")</f>
        <v>무장</v>
      </c>
      <c r="H1286" t="str">
        <f t="shared" si="245"/>
        <v>스토리위즈</v>
      </c>
      <c r="I1286" t="str">
        <f t="shared" ref="I1286:I1302" si="247">T("최종 보스 : 빛을 향해 달리는 그림자")</f>
        <v>최종 보스 : 빛을 향해 달리는 그림자</v>
      </c>
      <c r="J1286">
        <v>100</v>
      </c>
      <c r="K1286">
        <v>600</v>
      </c>
      <c r="L1286">
        <v>6</v>
      </c>
      <c r="M1286">
        <v>0</v>
      </c>
      <c r="N1286">
        <v>100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700</v>
      </c>
      <c r="AH1286">
        <v>7</v>
      </c>
      <c r="AI1286">
        <v>0</v>
      </c>
      <c r="AJ1286">
        <v>0</v>
      </c>
      <c r="AK1286">
        <v>700</v>
      </c>
      <c r="AL1286">
        <v>0</v>
      </c>
      <c r="AM1286">
        <v>0</v>
      </c>
      <c r="AN1286">
        <v>0</v>
      </c>
      <c r="AO1286">
        <v>0</v>
      </c>
      <c r="AP1286">
        <v>490</v>
      </c>
      <c r="AT1286" t="str">
        <f t="shared" ref="AT1286:AT1302" si="248">T("9791166067563")</f>
        <v>9791166067563</v>
      </c>
      <c r="AV1286" t="str">
        <f t="shared" ref="AV1286:AV1327" si="249">T("판타지 웹소설 &gt; 현대 판타지")</f>
        <v>판타지 웹소설 &gt; 현대 판타지</v>
      </c>
    </row>
    <row r="1287" spans="1:48" x14ac:dyDescent="0.4">
      <c r="A1287">
        <v>2313011400</v>
      </c>
      <c r="B1287">
        <v>2313011424</v>
      </c>
      <c r="C1287" t="str">
        <f>T("최종 보스 2권 3화")</f>
        <v>최종 보스 2권 3화</v>
      </c>
      <c r="D1287" t="str">
        <f>T("25")</f>
        <v>25</v>
      </c>
      <c r="E1287" t="str">
        <f t="shared" si="246"/>
        <v>무장</v>
      </c>
      <c r="H1287" t="str">
        <f t="shared" si="245"/>
        <v>스토리위즈</v>
      </c>
      <c r="I1287" t="str">
        <f t="shared" si="247"/>
        <v>최종 보스 : 빛을 향해 달리는 그림자</v>
      </c>
      <c r="J1287">
        <v>100</v>
      </c>
      <c r="K1287">
        <v>600</v>
      </c>
      <c r="L1287">
        <v>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600</v>
      </c>
      <c r="AH1287">
        <v>6</v>
      </c>
      <c r="AI1287">
        <v>0</v>
      </c>
      <c r="AJ1287">
        <v>0</v>
      </c>
      <c r="AK1287">
        <v>600</v>
      </c>
      <c r="AL1287">
        <v>0</v>
      </c>
      <c r="AM1287">
        <v>0</v>
      </c>
      <c r="AN1287">
        <v>0</v>
      </c>
      <c r="AO1287">
        <v>0</v>
      </c>
      <c r="AP1287">
        <v>420</v>
      </c>
      <c r="AT1287" t="str">
        <f t="shared" si="248"/>
        <v>9791166067563</v>
      </c>
      <c r="AV1287" t="str">
        <f t="shared" si="249"/>
        <v>판타지 웹소설 &gt; 현대 판타지</v>
      </c>
    </row>
    <row r="1288" spans="1:48" x14ac:dyDescent="0.4">
      <c r="A1288">
        <v>2313011400</v>
      </c>
      <c r="B1288">
        <v>2313011427</v>
      </c>
      <c r="C1288" t="str">
        <f>T("최종 보스 2권 6화")</f>
        <v>최종 보스 2권 6화</v>
      </c>
      <c r="D1288" t="str">
        <f>T("28")</f>
        <v>28</v>
      </c>
      <c r="E1288" t="str">
        <f t="shared" si="246"/>
        <v>무장</v>
      </c>
      <c r="H1288" t="str">
        <f t="shared" si="245"/>
        <v>스토리위즈</v>
      </c>
      <c r="I1288" t="str">
        <f t="shared" si="247"/>
        <v>최종 보스 : 빛을 향해 달리는 그림자</v>
      </c>
      <c r="J1288">
        <v>100</v>
      </c>
      <c r="K1288">
        <v>600</v>
      </c>
      <c r="L1288">
        <v>6</v>
      </c>
      <c r="M1288">
        <v>0</v>
      </c>
      <c r="N1288">
        <v>100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700</v>
      </c>
      <c r="AH1288">
        <v>7</v>
      </c>
      <c r="AI1288">
        <v>0</v>
      </c>
      <c r="AJ1288">
        <v>0</v>
      </c>
      <c r="AK1288">
        <v>700</v>
      </c>
      <c r="AL1288">
        <v>0</v>
      </c>
      <c r="AM1288">
        <v>0</v>
      </c>
      <c r="AN1288">
        <v>0</v>
      </c>
      <c r="AO1288">
        <v>0</v>
      </c>
      <c r="AP1288">
        <v>490</v>
      </c>
      <c r="AT1288" t="str">
        <f t="shared" si="248"/>
        <v>9791166067563</v>
      </c>
      <c r="AV1288" t="str">
        <f t="shared" si="249"/>
        <v>판타지 웹소설 &gt; 현대 판타지</v>
      </c>
    </row>
    <row r="1289" spans="1:48" x14ac:dyDescent="0.4">
      <c r="A1289">
        <v>2313011400</v>
      </c>
      <c r="B1289">
        <v>2313011428</v>
      </c>
      <c r="C1289" t="str">
        <f>T("최종 보스 2권 7화")</f>
        <v>최종 보스 2권 7화</v>
      </c>
      <c r="D1289" t="str">
        <f>T("29")</f>
        <v>29</v>
      </c>
      <c r="E1289" t="str">
        <f t="shared" si="246"/>
        <v>무장</v>
      </c>
      <c r="H1289" t="str">
        <f t="shared" si="245"/>
        <v>스토리위즈</v>
      </c>
      <c r="I1289" t="str">
        <f t="shared" si="247"/>
        <v>최종 보스 : 빛을 향해 달리는 그림자</v>
      </c>
      <c r="J1289">
        <v>100</v>
      </c>
      <c r="K1289">
        <v>600</v>
      </c>
      <c r="L1289">
        <v>6</v>
      </c>
      <c r="M1289">
        <v>0</v>
      </c>
      <c r="N1289">
        <v>100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700</v>
      </c>
      <c r="AH1289">
        <v>7</v>
      </c>
      <c r="AI1289">
        <v>0</v>
      </c>
      <c r="AJ1289">
        <v>0</v>
      </c>
      <c r="AK1289">
        <v>700</v>
      </c>
      <c r="AL1289">
        <v>0</v>
      </c>
      <c r="AM1289">
        <v>0</v>
      </c>
      <c r="AN1289">
        <v>0</v>
      </c>
      <c r="AO1289">
        <v>0</v>
      </c>
      <c r="AP1289">
        <v>490</v>
      </c>
      <c r="AT1289" t="str">
        <f t="shared" si="248"/>
        <v>9791166067563</v>
      </c>
      <c r="AV1289" t="str">
        <f t="shared" si="249"/>
        <v>판타지 웹소설 &gt; 현대 판타지</v>
      </c>
    </row>
    <row r="1290" spans="1:48" x14ac:dyDescent="0.4">
      <c r="A1290">
        <v>2313011400</v>
      </c>
      <c r="B1290">
        <v>2313011429</v>
      </c>
      <c r="C1290" t="str">
        <f>T("최종 보스 2권 8화")</f>
        <v>최종 보스 2권 8화</v>
      </c>
      <c r="D1290" t="str">
        <f>T("30")</f>
        <v>30</v>
      </c>
      <c r="E1290" t="str">
        <f t="shared" si="246"/>
        <v>무장</v>
      </c>
      <c r="H1290" t="str">
        <f t="shared" si="245"/>
        <v>스토리위즈</v>
      </c>
      <c r="I1290" t="str">
        <f t="shared" si="247"/>
        <v>최종 보스 : 빛을 향해 달리는 그림자</v>
      </c>
      <c r="J1290">
        <v>100</v>
      </c>
      <c r="K1290">
        <v>600</v>
      </c>
      <c r="L1290">
        <v>6</v>
      </c>
      <c r="M1290">
        <v>0</v>
      </c>
      <c r="N1290">
        <v>100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700</v>
      </c>
      <c r="AH1290">
        <v>7</v>
      </c>
      <c r="AI1290">
        <v>0</v>
      </c>
      <c r="AJ1290">
        <v>0</v>
      </c>
      <c r="AK1290">
        <v>700</v>
      </c>
      <c r="AL1290">
        <v>0</v>
      </c>
      <c r="AM1290">
        <v>0</v>
      </c>
      <c r="AN1290">
        <v>0</v>
      </c>
      <c r="AO1290">
        <v>0</v>
      </c>
      <c r="AP1290">
        <v>490</v>
      </c>
      <c r="AT1290" t="str">
        <f t="shared" si="248"/>
        <v>9791166067563</v>
      </c>
      <c r="AV1290" t="str">
        <f t="shared" si="249"/>
        <v>판타지 웹소설 &gt; 현대 판타지</v>
      </c>
    </row>
    <row r="1291" spans="1:48" x14ac:dyDescent="0.4">
      <c r="A1291">
        <v>2313011400</v>
      </c>
      <c r="B1291">
        <v>2313011430</v>
      </c>
      <c r="C1291" t="str">
        <f>T("최종 보스 2권 9화")</f>
        <v>최종 보스 2권 9화</v>
      </c>
      <c r="D1291" t="str">
        <f>T("31")</f>
        <v>31</v>
      </c>
      <c r="E1291" t="str">
        <f t="shared" si="246"/>
        <v>무장</v>
      </c>
      <c r="H1291" t="str">
        <f t="shared" si="245"/>
        <v>스토리위즈</v>
      </c>
      <c r="I1291" t="str">
        <f t="shared" si="247"/>
        <v>최종 보스 : 빛을 향해 달리는 그림자</v>
      </c>
      <c r="J1291">
        <v>100</v>
      </c>
      <c r="K1291">
        <v>600</v>
      </c>
      <c r="L1291">
        <v>6</v>
      </c>
      <c r="M1291">
        <v>0</v>
      </c>
      <c r="N1291">
        <v>100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700</v>
      </c>
      <c r="AH1291">
        <v>7</v>
      </c>
      <c r="AI1291">
        <v>0</v>
      </c>
      <c r="AJ1291">
        <v>0</v>
      </c>
      <c r="AK1291">
        <v>700</v>
      </c>
      <c r="AL1291">
        <v>0</v>
      </c>
      <c r="AM1291">
        <v>0</v>
      </c>
      <c r="AN1291">
        <v>0</v>
      </c>
      <c r="AO1291">
        <v>0</v>
      </c>
      <c r="AP1291">
        <v>490</v>
      </c>
      <c r="AT1291" t="str">
        <f t="shared" si="248"/>
        <v>9791166067563</v>
      </c>
      <c r="AV1291" t="str">
        <f t="shared" si="249"/>
        <v>판타지 웹소설 &gt; 현대 판타지</v>
      </c>
    </row>
    <row r="1292" spans="1:48" x14ac:dyDescent="0.4">
      <c r="A1292">
        <v>2313011400</v>
      </c>
      <c r="B1292">
        <v>2313011431</v>
      </c>
      <c r="C1292" t="str">
        <f>T("최종 보스 2권 10화")</f>
        <v>최종 보스 2권 10화</v>
      </c>
      <c r="D1292" t="str">
        <f>T("32")</f>
        <v>32</v>
      </c>
      <c r="E1292" t="str">
        <f t="shared" si="246"/>
        <v>무장</v>
      </c>
      <c r="H1292" t="str">
        <f t="shared" si="245"/>
        <v>스토리위즈</v>
      </c>
      <c r="I1292" t="str">
        <f t="shared" si="247"/>
        <v>최종 보스 : 빛을 향해 달리는 그림자</v>
      </c>
      <c r="J1292">
        <v>100</v>
      </c>
      <c r="K1292">
        <v>600</v>
      </c>
      <c r="L1292">
        <v>6</v>
      </c>
      <c r="M1292">
        <v>0</v>
      </c>
      <c r="N1292">
        <v>100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700</v>
      </c>
      <c r="AH1292">
        <v>7</v>
      </c>
      <c r="AI1292">
        <v>0</v>
      </c>
      <c r="AJ1292">
        <v>0</v>
      </c>
      <c r="AK1292">
        <v>700</v>
      </c>
      <c r="AL1292">
        <v>0</v>
      </c>
      <c r="AM1292">
        <v>0</v>
      </c>
      <c r="AN1292">
        <v>0</v>
      </c>
      <c r="AO1292">
        <v>0</v>
      </c>
      <c r="AP1292">
        <v>490</v>
      </c>
      <c r="AT1292" t="str">
        <f t="shared" si="248"/>
        <v>9791166067563</v>
      </c>
      <c r="AV1292" t="str">
        <f t="shared" si="249"/>
        <v>판타지 웹소설 &gt; 현대 판타지</v>
      </c>
    </row>
    <row r="1293" spans="1:48" x14ac:dyDescent="0.4">
      <c r="A1293">
        <v>2313011400</v>
      </c>
      <c r="B1293">
        <v>2313011432</v>
      </c>
      <c r="C1293" t="str">
        <f>T("최종 보스 2권 11화")</f>
        <v>최종 보스 2권 11화</v>
      </c>
      <c r="D1293" t="str">
        <f>T("33")</f>
        <v>33</v>
      </c>
      <c r="E1293" t="str">
        <f t="shared" si="246"/>
        <v>무장</v>
      </c>
      <c r="H1293" t="str">
        <f t="shared" si="245"/>
        <v>스토리위즈</v>
      </c>
      <c r="I1293" t="str">
        <f t="shared" si="247"/>
        <v>최종 보스 : 빛을 향해 달리는 그림자</v>
      </c>
      <c r="J1293">
        <v>100</v>
      </c>
      <c r="K1293">
        <v>600</v>
      </c>
      <c r="L1293">
        <v>6</v>
      </c>
      <c r="M1293">
        <v>0</v>
      </c>
      <c r="N1293">
        <v>100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700</v>
      </c>
      <c r="AH1293">
        <v>7</v>
      </c>
      <c r="AI1293">
        <v>0</v>
      </c>
      <c r="AJ1293">
        <v>0</v>
      </c>
      <c r="AK1293">
        <v>700</v>
      </c>
      <c r="AL1293">
        <v>0</v>
      </c>
      <c r="AM1293">
        <v>0</v>
      </c>
      <c r="AN1293">
        <v>0</v>
      </c>
      <c r="AO1293">
        <v>0</v>
      </c>
      <c r="AP1293">
        <v>490</v>
      </c>
      <c r="AT1293" t="str">
        <f t="shared" si="248"/>
        <v>9791166067563</v>
      </c>
      <c r="AV1293" t="str">
        <f t="shared" si="249"/>
        <v>판타지 웹소설 &gt; 현대 판타지</v>
      </c>
    </row>
    <row r="1294" spans="1:48" x14ac:dyDescent="0.4">
      <c r="A1294">
        <v>2313011400</v>
      </c>
      <c r="B1294">
        <v>2313011435</v>
      </c>
      <c r="C1294" t="str">
        <f>T("최종 보스 2권 14화")</f>
        <v>최종 보스 2권 14화</v>
      </c>
      <c r="D1294" t="str">
        <f>T("36")</f>
        <v>36</v>
      </c>
      <c r="E1294" t="str">
        <f t="shared" si="246"/>
        <v>무장</v>
      </c>
      <c r="H1294" t="str">
        <f t="shared" si="245"/>
        <v>스토리위즈</v>
      </c>
      <c r="I1294" t="str">
        <f t="shared" si="247"/>
        <v>최종 보스 : 빛을 향해 달리는 그림자</v>
      </c>
      <c r="J1294">
        <v>100</v>
      </c>
      <c r="K1294">
        <v>600</v>
      </c>
      <c r="L1294">
        <v>6</v>
      </c>
      <c r="M1294">
        <v>0</v>
      </c>
      <c r="N1294">
        <v>100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700</v>
      </c>
      <c r="AH1294">
        <v>7</v>
      </c>
      <c r="AI1294">
        <v>0</v>
      </c>
      <c r="AJ1294">
        <v>0</v>
      </c>
      <c r="AK1294">
        <v>700</v>
      </c>
      <c r="AL1294">
        <v>0</v>
      </c>
      <c r="AM1294">
        <v>0</v>
      </c>
      <c r="AN1294">
        <v>0</v>
      </c>
      <c r="AO1294">
        <v>0</v>
      </c>
      <c r="AP1294">
        <v>490</v>
      </c>
      <c r="AT1294" t="str">
        <f t="shared" si="248"/>
        <v>9791166067563</v>
      </c>
      <c r="AV1294" t="str">
        <f t="shared" si="249"/>
        <v>판타지 웹소설 &gt; 현대 판타지</v>
      </c>
    </row>
    <row r="1295" spans="1:48" x14ac:dyDescent="0.4">
      <c r="A1295">
        <v>2313011400</v>
      </c>
      <c r="B1295">
        <v>2313011436</v>
      </c>
      <c r="C1295" t="str">
        <f>T("최종 보스 2권 15화")</f>
        <v>최종 보스 2권 15화</v>
      </c>
      <c r="D1295" t="str">
        <f>T("37")</f>
        <v>37</v>
      </c>
      <c r="E1295" t="str">
        <f t="shared" si="246"/>
        <v>무장</v>
      </c>
      <c r="H1295" t="str">
        <f t="shared" si="245"/>
        <v>스토리위즈</v>
      </c>
      <c r="I1295" t="str">
        <f t="shared" si="247"/>
        <v>최종 보스 : 빛을 향해 달리는 그림자</v>
      </c>
      <c r="J1295">
        <v>100</v>
      </c>
      <c r="K1295">
        <v>600</v>
      </c>
      <c r="L1295">
        <v>6</v>
      </c>
      <c r="M1295">
        <v>0</v>
      </c>
      <c r="N1295">
        <v>100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700</v>
      </c>
      <c r="AH1295">
        <v>7</v>
      </c>
      <c r="AI1295">
        <v>0</v>
      </c>
      <c r="AJ1295">
        <v>0</v>
      </c>
      <c r="AK1295">
        <v>700</v>
      </c>
      <c r="AL1295">
        <v>0</v>
      </c>
      <c r="AM1295">
        <v>0</v>
      </c>
      <c r="AN1295">
        <v>0</v>
      </c>
      <c r="AO1295">
        <v>0</v>
      </c>
      <c r="AP1295">
        <v>490</v>
      </c>
      <c r="AT1295" t="str">
        <f t="shared" si="248"/>
        <v>9791166067563</v>
      </c>
      <c r="AV1295" t="str">
        <f t="shared" si="249"/>
        <v>판타지 웹소설 &gt; 현대 판타지</v>
      </c>
    </row>
    <row r="1296" spans="1:48" x14ac:dyDescent="0.4">
      <c r="A1296">
        <v>2313011400</v>
      </c>
      <c r="B1296">
        <v>2313011437</v>
      </c>
      <c r="C1296" t="str">
        <f>T("최종 보스 2권 16화")</f>
        <v>최종 보스 2권 16화</v>
      </c>
      <c r="D1296" t="str">
        <f>T("38")</f>
        <v>38</v>
      </c>
      <c r="E1296" t="str">
        <f t="shared" si="246"/>
        <v>무장</v>
      </c>
      <c r="H1296" t="str">
        <f t="shared" si="245"/>
        <v>스토리위즈</v>
      </c>
      <c r="I1296" t="str">
        <f t="shared" si="247"/>
        <v>최종 보스 : 빛을 향해 달리는 그림자</v>
      </c>
      <c r="J1296">
        <v>100</v>
      </c>
      <c r="K1296">
        <v>600</v>
      </c>
      <c r="L1296">
        <v>6</v>
      </c>
      <c r="M1296">
        <v>0</v>
      </c>
      <c r="N1296">
        <v>100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700</v>
      </c>
      <c r="AH1296">
        <v>7</v>
      </c>
      <c r="AI1296">
        <v>0</v>
      </c>
      <c r="AJ1296">
        <v>0</v>
      </c>
      <c r="AK1296">
        <v>700</v>
      </c>
      <c r="AL1296">
        <v>0</v>
      </c>
      <c r="AM1296">
        <v>0</v>
      </c>
      <c r="AN1296">
        <v>0</v>
      </c>
      <c r="AO1296">
        <v>0</v>
      </c>
      <c r="AP1296">
        <v>490</v>
      </c>
      <c r="AT1296" t="str">
        <f t="shared" si="248"/>
        <v>9791166067563</v>
      </c>
      <c r="AV1296" t="str">
        <f t="shared" si="249"/>
        <v>판타지 웹소설 &gt; 현대 판타지</v>
      </c>
    </row>
    <row r="1297" spans="1:48" x14ac:dyDescent="0.4">
      <c r="A1297">
        <v>2313011400</v>
      </c>
      <c r="B1297">
        <v>2313011438</v>
      </c>
      <c r="C1297" t="str">
        <f>T("최종 보스 2권 17화")</f>
        <v>최종 보스 2권 17화</v>
      </c>
      <c r="D1297" t="str">
        <f>T("39")</f>
        <v>39</v>
      </c>
      <c r="E1297" t="str">
        <f t="shared" si="246"/>
        <v>무장</v>
      </c>
      <c r="H1297" t="str">
        <f t="shared" si="245"/>
        <v>스토리위즈</v>
      </c>
      <c r="I1297" t="str">
        <f t="shared" si="247"/>
        <v>최종 보스 : 빛을 향해 달리는 그림자</v>
      </c>
      <c r="J1297">
        <v>100</v>
      </c>
      <c r="K1297">
        <v>600</v>
      </c>
      <c r="L1297">
        <v>6</v>
      </c>
      <c r="M1297">
        <v>0</v>
      </c>
      <c r="N1297">
        <v>100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700</v>
      </c>
      <c r="AH1297">
        <v>7</v>
      </c>
      <c r="AI1297">
        <v>0</v>
      </c>
      <c r="AJ1297">
        <v>0</v>
      </c>
      <c r="AK1297">
        <v>700</v>
      </c>
      <c r="AL1297">
        <v>0</v>
      </c>
      <c r="AM1297">
        <v>0</v>
      </c>
      <c r="AN1297">
        <v>0</v>
      </c>
      <c r="AO1297">
        <v>0</v>
      </c>
      <c r="AP1297">
        <v>490</v>
      </c>
      <c r="AT1297" t="str">
        <f t="shared" si="248"/>
        <v>9791166067563</v>
      </c>
      <c r="AV1297" t="str">
        <f t="shared" si="249"/>
        <v>판타지 웹소설 &gt; 현대 판타지</v>
      </c>
    </row>
    <row r="1298" spans="1:48" x14ac:dyDescent="0.4">
      <c r="A1298">
        <v>2313011400</v>
      </c>
      <c r="B1298">
        <v>2313011439</v>
      </c>
      <c r="C1298" t="str">
        <f>T("최종 보스 2권 18화")</f>
        <v>최종 보스 2권 18화</v>
      </c>
      <c r="D1298" t="str">
        <f>T("40")</f>
        <v>40</v>
      </c>
      <c r="E1298" t="str">
        <f t="shared" si="246"/>
        <v>무장</v>
      </c>
      <c r="H1298" t="str">
        <f t="shared" si="245"/>
        <v>스토리위즈</v>
      </c>
      <c r="I1298" t="str">
        <f t="shared" si="247"/>
        <v>최종 보스 : 빛을 향해 달리는 그림자</v>
      </c>
      <c r="J1298">
        <v>100</v>
      </c>
      <c r="K1298">
        <v>600</v>
      </c>
      <c r="L1298">
        <v>6</v>
      </c>
      <c r="M1298">
        <v>0</v>
      </c>
      <c r="N1298">
        <v>100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700</v>
      </c>
      <c r="AH1298">
        <v>7</v>
      </c>
      <c r="AI1298">
        <v>0</v>
      </c>
      <c r="AJ1298">
        <v>0</v>
      </c>
      <c r="AK1298">
        <v>700</v>
      </c>
      <c r="AL1298">
        <v>0</v>
      </c>
      <c r="AM1298">
        <v>0</v>
      </c>
      <c r="AN1298">
        <v>0</v>
      </c>
      <c r="AO1298">
        <v>0</v>
      </c>
      <c r="AP1298">
        <v>490</v>
      </c>
      <c r="AT1298" t="str">
        <f t="shared" si="248"/>
        <v>9791166067563</v>
      </c>
      <c r="AV1298" t="str">
        <f t="shared" si="249"/>
        <v>판타지 웹소설 &gt; 현대 판타지</v>
      </c>
    </row>
    <row r="1299" spans="1:48" x14ac:dyDescent="0.4">
      <c r="A1299">
        <v>2313011400</v>
      </c>
      <c r="B1299">
        <v>2313011440</v>
      </c>
      <c r="C1299" t="str">
        <f>T("최종 보스 2권 19화")</f>
        <v>최종 보스 2권 19화</v>
      </c>
      <c r="D1299" t="str">
        <f>T("41")</f>
        <v>41</v>
      </c>
      <c r="E1299" t="str">
        <f t="shared" si="246"/>
        <v>무장</v>
      </c>
      <c r="H1299" t="str">
        <f t="shared" si="245"/>
        <v>스토리위즈</v>
      </c>
      <c r="I1299" t="str">
        <f t="shared" si="247"/>
        <v>최종 보스 : 빛을 향해 달리는 그림자</v>
      </c>
      <c r="J1299">
        <v>100</v>
      </c>
      <c r="K1299">
        <v>600</v>
      </c>
      <c r="L1299">
        <v>6</v>
      </c>
      <c r="M1299">
        <v>0</v>
      </c>
      <c r="N1299">
        <v>100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700</v>
      </c>
      <c r="AH1299">
        <v>7</v>
      </c>
      <c r="AI1299">
        <v>0</v>
      </c>
      <c r="AJ1299">
        <v>0</v>
      </c>
      <c r="AK1299">
        <v>700</v>
      </c>
      <c r="AL1299">
        <v>0</v>
      </c>
      <c r="AM1299">
        <v>0</v>
      </c>
      <c r="AN1299">
        <v>0</v>
      </c>
      <c r="AO1299">
        <v>0</v>
      </c>
      <c r="AP1299">
        <v>490</v>
      </c>
      <c r="AT1299" t="str">
        <f t="shared" si="248"/>
        <v>9791166067563</v>
      </c>
      <c r="AV1299" t="str">
        <f t="shared" si="249"/>
        <v>판타지 웹소설 &gt; 현대 판타지</v>
      </c>
    </row>
    <row r="1300" spans="1:48" x14ac:dyDescent="0.4">
      <c r="A1300">
        <v>2313011400</v>
      </c>
      <c r="B1300">
        <v>2313011441</v>
      </c>
      <c r="C1300" t="str">
        <f>T("최종 보스 2권 20화")</f>
        <v>최종 보스 2권 20화</v>
      </c>
      <c r="D1300" t="str">
        <f>T("42")</f>
        <v>42</v>
      </c>
      <c r="E1300" t="str">
        <f t="shared" si="246"/>
        <v>무장</v>
      </c>
      <c r="H1300" t="str">
        <f t="shared" si="245"/>
        <v>스토리위즈</v>
      </c>
      <c r="I1300" t="str">
        <f t="shared" si="247"/>
        <v>최종 보스 : 빛을 향해 달리는 그림자</v>
      </c>
      <c r="J1300">
        <v>100</v>
      </c>
      <c r="K1300">
        <v>600</v>
      </c>
      <c r="L1300">
        <v>6</v>
      </c>
      <c r="M1300">
        <v>0</v>
      </c>
      <c r="N1300">
        <v>100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700</v>
      </c>
      <c r="AH1300">
        <v>7</v>
      </c>
      <c r="AI1300">
        <v>0</v>
      </c>
      <c r="AJ1300">
        <v>0</v>
      </c>
      <c r="AK1300">
        <v>700</v>
      </c>
      <c r="AL1300">
        <v>0</v>
      </c>
      <c r="AM1300">
        <v>0</v>
      </c>
      <c r="AN1300">
        <v>0</v>
      </c>
      <c r="AO1300">
        <v>0</v>
      </c>
      <c r="AP1300">
        <v>490</v>
      </c>
      <c r="AT1300" t="str">
        <f t="shared" si="248"/>
        <v>9791166067563</v>
      </c>
      <c r="AV1300" t="str">
        <f t="shared" si="249"/>
        <v>판타지 웹소설 &gt; 현대 판타지</v>
      </c>
    </row>
    <row r="1301" spans="1:48" x14ac:dyDescent="0.4">
      <c r="A1301">
        <v>2313011400</v>
      </c>
      <c r="B1301">
        <v>2313011442</v>
      </c>
      <c r="C1301" t="str">
        <f>T("최종 보스 2권 21화")</f>
        <v>최종 보스 2권 21화</v>
      </c>
      <c r="D1301" t="str">
        <f>T("43")</f>
        <v>43</v>
      </c>
      <c r="E1301" t="str">
        <f t="shared" si="246"/>
        <v>무장</v>
      </c>
      <c r="H1301" t="str">
        <f t="shared" si="245"/>
        <v>스토리위즈</v>
      </c>
      <c r="I1301" t="str">
        <f t="shared" si="247"/>
        <v>최종 보스 : 빛을 향해 달리는 그림자</v>
      </c>
      <c r="J1301">
        <v>100</v>
      </c>
      <c r="K1301">
        <v>600</v>
      </c>
      <c r="L1301">
        <v>6</v>
      </c>
      <c r="M1301">
        <v>0</v>
      </c>
      <c r="N1301">
        <v>100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700</v>
      </c>
      <c r="AH1301">
        <v>7</v>
      </c>
      <c r="AI1301">
        <v>0</v>
      </c>
      <c r="AJ1301">
        <v>0</v>
      </c>
      <c r="AK1301">
        <v>700</v>
      </c>
      <c r="AL1301">
        <v>0</v>
      </c>
      <c r="AM1301">
        <v>0</v>
      </c>
      <c r="AN1301">
        <v>0</v>
      </c>
      <c r="AO1301">
        <v>0</v>
      </c>
      <c r="AP1301">
        <v>490</v>
      </c>
      <c r="AT1301" t="str">
        <f t="shared" si="248"/>
        <v>9791166067563</v>
      </c>
      <c r="AV1301" t="str">
        <f t="shared" si="249"/>
        <v>판타지 웹소설 &gt; 현대 판타지</v>
      </c>
    </row>
    <row r="1302" spans="1:48" x14ac:dyDescent="0.4">
      <c r="A1302">
        <v>2313011400</v>
      </c>
      <c r="B1302">
        <v>2313011443</v>
      </c>
      <c r="C1302" t="str">
        <f>T("최종 보스 2권 22화")</f>
        <v>최종 보스 2권 22화</v>
      </c>
      <c r="D1302" t="str">
        <f>T("44")</f>
        <v>44</v>
      </c>
      <c r="E1302" t="str">
        <f t="shared" si="246"/>
        <v>무장</v>
      </c>
      <c r="H1302" t="str">
        <f t="shared" si="245"/>
        <v>스토리위즈</v>
      </c>
      <c r="I1302" t="str">
        <f t="shared" si="247"/>
        <v>최종 보스 : 빛을 향해 달리는 그림자</v>
      </c>
      <c r="J1302">
        <v>100</v>
      </c>
      <c r="K1302">
        <v>600</v>
      </c>
      <c r="L1302">
        <v>6</v>
      </c>
      <c r="M1302">
        <v>0</v>
      </c>
      <c r="N1302">
        <v>100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700</v>
      </c>
      <c r="AH1302">
        <v>7</v>
      </c>
      <c r="AI1302">
        <v>0</v>
      </c>
      <c r="AJ1302">
        <v>0</v>
      </c>
      <c r="AK1302">
        <v>700</v>
      </c>
      <c r="AL1302">
        <v>0</v>
      </c>
      <c r="AM1302">
        <v>0</v>
      </c>
      <c r="AN1302">
        <v>0</v>
      </c>
      <c r="AO1302">
        <v>0</v>
      </c>
      <c r="AP1302">
        <v>490</v>
      </c>
      <c r="AT1302" t="str">
        <f t="shared" si="248"/>
        <v>9791166067563</v>
      </c>
      <c r="AV1302" t="str">
        <f t="shared" si="249"/>
        <v>판타지 웹소설 &gt; 현대 판타지</v>
      </c>
    </row>
    <row r="1303" spans="1:48" x14ac:dyDescent="0.4">
      <c r="A1303">
        <v>2313011955</v>
      </c>
      <c r="B1303">
        <v>2313011978</v>
      </c>
      <c r="C1303" t="str">
        <f>T("갓 오브 블랙필드 24화")</f>
        <v>갓 오브 블랙필드 24화</v>
      </c>
      <c r="D1303" t="str">
        <f>T("24")</f>
        <v>24</v>
      </c>
      <c r="E1303" t="str">
        <f t="shared" si="246"/>
        <v>무장</v>
      </c>
      <c r="H1303" t="str">
        <f t="shared" si="245"/>
        <v>스토리위즈</v>
      </c>
      <c r="I1303" t="str">
        <f t="shared" ref="I1303:I1327" si="250">T("갓 오브 블랙필드")</f>
        <v>갓 오브 블랙필드</v>
      </c>
      <c r="J1303">
        <v>100</v>
      </c>
      <c r="K1303">
        <v>600</v>
      </c>
      <c r="L1303">
        <v>6</v>
      </c>
      <c r="M1303">
        <v>0</v>
      </c>
      <c r="N1303">
        <v>0</v>
      </c>
      <c r="O1303">
        <v>0</v>
      </c>
      <c r="P1303">
        <v>40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600</v>
      </c>
      <c r="AH1303">
        <v>46</v>
      </c>
      <c r="AI1303">
        <v>0</v>
      </c>
      <c r="AJ1303">
        <v>0</v>
      </c>
      <c r="AK1303">
        <v>600</v>
      </c>
      <c r="AL1303">
        <v>0</v>
      </c>
      <c r="AM1303">
        <v>0</v>
      </c>
      <c r="AN1303">
        <v>0</v>
      </c>
      <c r="AO1303">
        <v>0</v>
      </c>
      <c r="AP1303">
        <v>420</v>
      </c>
      <c r="AT1303" t="str">
        <f t="shared" ref="AT1303:AT1327" si="251">T("9791137602113")</f>
        <v>9791137602113</v>
      </c>
      <c r="AV1303" t="str">
        <f t="shared" si="249"/>
        <v>판타지 웹소설 &gt; 현대 판타지</v>
      </c>
    </row>
    <row r="1304" spans="1:48" x14ac:dyDescent="0.4">
      <c r="A1304">
        <v>2313011955</v>
      </c>
      <c r="B1304">
        <v>2313011979</v>
      </c>
      <c r="C1304" t="str">
        <f>T("갓 오브 블랙필드 25화")</f>
        <v>갓 오브 블랙필드 25화</v>
      </c>
      <c r="D1304" t="str">
        <f>T("25")</f>
        <v>25</v>
      </c>
      <c r="E1304" t="str">
        <f t="shared" si="246"/>
        <v>무장</v>
      </c>
      <c r="H1304" t="str">
        <f t="shared" si="245"/>
        <v>스토리위즈</v>
      </c>
      <c r="I1304" t="str">
        <f t="shared" si="250"/>
        <v>갓 오브 블랙필드</v>
      </c>
      <c r="J1304">
        <v>100</v>
      </c>
      <c r="K1304">
        <v>600</v>
      </c>
      <c r="L1304">
        <v>6</v>
      </c>
      <c r="M1304">
        <v>0</v>
      </c>
      <c r="N1304">
        <v>0</v>
      </c>
      <c r="O1304">
        <v>0</v>
      </c>
      <c r="P1304">
        <v>42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600</v>
      </c>
      <c r="AH1304">
        <v>48</v>
      </c>
      <c r="AI1304">
        <v>0</v>
      </c>
      <c r="AJ1304">
        <v>0</v>
      </c>
      <c r="AK1304">
        <v>600</v>
      </c>
      <c r="AL1304">
        <v>0</v>
      </c>
      <c r="AM1304">
        <v>0</v>
      </c>
      <c r="AN1304">
        <v>0</v>
      </c>
      <c r="AO1304">
        <v>0</v>
      </c>
      <c r="AP1304">
        <v>420</v>
      </c>
      <c r="AT1304" t="str">
        <f t="shared" si="251"/>
        <v>9791137602113</v>
      </c>
      <c r="AV1304" t="str">
        <f t="shared" si="249"/>
        <v>판타지 웹소설 &gt; 현대 판타지</v>
      </c>
    </row>
    <row r="1305" spans="1:48" x14ac:dyDescent="0.4">
      <c r="A1305">
        <v>2313011955</v>
      </c>
      <c r="B1305">
        <v>2313011980</v>
      </c>
      <c r="C1305" t="str">
        <f>T("갓 오브 블랙필드 26화")</f>
        <v>갓 오브 블랙필드 26화</v>
      </c>
      <c r="D1305" t="str">
        <f>T("26")</f>
        <v>26</v>
      </c>
      <c r="E1305" t="str">
        <f t="shared" si="246"/>
        <v>무장</v>
      </c>
      <c r="H1305" t="str">
        <f t="shared" si="245"/>
        <v>스토리위즈</v>
      </c>
      <c r="I1305" t="str">
        <f t="shared" si="250"/>
        <v>갓 오브 블랙필드</v>
      </c>
      <c r="J1305">
        <v>100</v>
      </c>
      <c r="K1305">
        <v>600</v>
      </c>
      <c r="L1305">
        <v>6</v>
      </c>
      <c r="M1305">
        <v>0</v>
      </c>
      <c r="N1305">
        <v>0</v>
      </c>
      <c r="O1305">
        <v>0</v>
      </c>
      <c r="P1305">
        <v>44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600</v>
      </c>
      <c r="AH1305">
        <v>50</v>
      </c>
      <c r="AI1305">
        <v>0</v>
      </c>
      <c r="AJ1305">
        <v>0</v>
      </c>
      <c r="AK1305">
        <v>600</v>
      </c>
      <c r="AL1305">
        <v>0</v>
      </c>
      <c r="AM1305">
        <v>0</v>
      </c>
      <c r="AN1305">
        <v>0</v>
      </c>
      <c r="AO1305">
        <v>0</v>
      </c>
      <c r="AP1305">
        <v>420</v>
      </c>
      <c r="AT1305" t="str">
        <f t="shared" si="251"/>
        <v>9791137602113</v>
      </c>
      <c r="AV1305" t="str">
        <f t="shared" si="249"/>
        <v>판타지 웹소설 &gt; 현대 판타지</v>
      </c>
    </row>
    <row r="1306" spans="1:48" x14ac:dyDescent="0.4">
      <c r="A1306">
        <v>2313011955</v>
      </c>
      <c r="B1306">
        <v>2313011981</v>
      </c>
      <c r="C1306" t="str">
        <f>T("갓 오브 블랙필드 27화")</f>
        <v>갓 오브 블랙필드 27화</v>
      </c>
      <c r="D1306" t="str">
        <f>T("27")</f>
        <v>27</v>
      </c>
      <c r="E1306" t="str">
        <f t="shared" si="246"/>
        <v>무장</v>
      </c>
      <c r="H1306" t="str">
        <f t="shared" si="245"/>
        <v>스토리위즈</v>
      </c>
      <c r="I1306" t="str">
        <f t="shared" si="250"/>
        <v>갓 오브 블랙필드</v>
      </c>
      <c r="J1306">
        <v>100</v>
      </c>
      <c r="K1306">
        <v>600</v>
      </c>
      <c r="L1306">
        <v>6</v>
      </c>
      <c r="M1306">
        <v>0</v>
      </c>
      <c r="N1306">
        <v>0</v>
      </c>
      <c r="O1306">
        <v>0</v>
      </c>
      <c r="P1306">
        <v>43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600</v>
      </c>
      <c r="AH1306">
        <v>49</v>
      </c>
      <c r="AI1306">
        <v>0</v>
      </c>
      <c r="AJ1306">
        <v>0</v>
      </c>
      <c r="AK1306">
        <v>600</v>
      </c>
      <c r="AL1306">
        <v>0</v>
      </c>
      <c r="AM1306">
        <v>0</v>
      </c>
      <c r="AN1306">
        <v>0</v>
      </c>
      <c r="AO1306">
        <v>0</v>
      </c>
      <c r="AP1306">
        <v>420</v>
      </c>
      <c r="AT1306" t="str">
        <f t="shared" si="251"/>
        <v>9791137602113</v>
      </c>
      <c r="AV1306" t="str">
        <f t="shared" si="249"/>
        <v>판타지 웹소설 &gt; 현대 판타지</v>
      </c>
    </row>
    <row r="1307" spans="1:48" x14ac:dyDescent="0.4">
      <c r="A1307">
        <v>2313011955</v>
      </c>
      <c r="B1307">
        <v>2313011982</v>
      </c>
      <c r="C1307" t="str">
        <f>T("갓 오브 블랙필드 28화")</f>
        <v>갓 오브 블랙필드 28화</v>
      </c>
      <c r="D1307" t="str">
        <f>T("28")</f>
        <v>28</v>
      </c>
      <c r="E1307" t="str">
        <f t="shared" si="246"/>
        <v>무장</v>
      </c>
      <c r="H1307" t="str">
        <f t="shared" si="245"/>
        <v>스토리위즈</v>
      </c>
      <c r="I1307" t="str">
        <f t="shared" si="250"/>
        <v>갓 오브 블랙필드</v>
      </c>
      <c r="J1307">
        <v>100</v>
      </c>
      <c r="K1307">
        <v>600</v>
      </c>
      <c r="L1307">
        <v>6</v>
      </c>
      <c r="M1307">
        <v>0</v>
      </c>
      <c r="N1307">
        <v>0</v>
      </c>
      <c r="O1307">
        <v>0</v>
      </c>
      <c r="P1307">
        <v>44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600</v>
      </c>
      <c r="AH1307">
        <v>50</v>
      </c>
      <c r="AI1307">
        <v>0</v>
      </c>
      <c r="AJ1307">
        <v>0</v>
      </c>
      <c r="AK1307">
        <v>600</v>
      </c>
      <c r="AL1307">
        <v>0</v>
      </c>
      <c r="AM1307">
        <v>0</v>
      </c>
      <c r="AN1307">
        <v>0</v>
      </c>
      <c r="AO1307">
        <v>0</v>
      </c>
      <c r="AP1307">
        <v>420</v>
      </c>
      <c r="AT1307" t="str">
        <f t="shared" si="251"/>
        <v>9791137602113</v>
      </c>
      <c r="AV1307" t="str">
        <f t="shared" si="249"/>
        <v>판타지 웹소설 &gt; 현대 판타지</v>
      </c>
    </row>
    <row r="1308" spans="1:48" x14ac:dyDescent="0.4">
      <c r="A1308">
        <v>2313011955</v>
      </c>
      <c r="B1308">
        <v>2313011983</v>
      </c>
      <c r="C1308" t="str">
        <f>T("갓 오브 블랙필드 29화")</f>
        <v>갓 오브 블랙필드 29화</v>
      </c>
      <c r="D1308" t="str">
        <f>T("29")</f>
        <v>29</v>
      </c>
      <c r="E1308" t="str">
        <f t="shared" si="246"/>
        <v>무장</v>
      </c>
      <c r="H1308" t="str">
        <f t="shared" si="245"/>
        <v>스토리위즈</v>
      </c>
      <c r="I1308" t="str">
        <f t="shared" si="250"/>
        <v>갓 오브 블랙필드</v>
      </c>
      <c r="J1308">
        <v>100</v>
      </c>
      <c r="K1308">
        <v>600</v>
      </c>
      <c r="L1308">
        <v>6</v>
      </c>
      <c r="M1308">
        <v>0</v>
      </c>
      <c r="N1308">
        <v>0</v>
      </c>
      <c r="O1308">
        <v>0</v>
      </c>
      <c r="P1308">
        <v>43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600</v>
      </c>
      <c r="AH1308">
        <v>49</v>
      </c>
      <c r="AI1308">
        <v>0</v>
      </c>
      <c r="AJ1308">
        <v>0</v>
      </c>
      <c r="AK1308">
        <v>600</v>
      </c>
      <c r="AL1308">
        <v>0</v>
      </c>
      <c r="AM1308">
        <v>0</v>
      </c>
      <c r="AN1308">
        <v>0</v>
      </c>
      <c r="AO1308">
        <v>0</v>
      </c>
      <c r="AP1308">
        <v>420</v>
      </c>
      <c r="AT1308" t="str">
        <f t="shared" si="251"/>
        <v>9791137602113</v>
      </c>
      <c r="AV1308" t="str">
        <f t="shared" si="249"/>
        <v>판타지 웹소설 &gt; 현대 판타지</v>
      </c>
    </row>
    <row r="1309" spans="1:48" x14ac:dyDescent="0.4">
      <c r="A1309">
        <v>2313011955</v>
      </c>
      <c r="B1309">
        <v>2313011984</v>
      </c>
      <c r="C1309" t="str">
        <f>T("갓 오브 블랙필드 30화")</f>
        <v>갓 오브 블랙필드 30화</v>
      </c>
      <c r="D1309" t="str">
        <f>T("30")</f>
        <v>30</v>
      </c>
      <c r="E1309" t="str">
        <f t="shared" si="246"/>
        <v>무장</v>
      </c>
      <c r="H1309" t="str">
        <f t="shared" si="245"/>
        <v>스토리위즈</v>
      </c>
      <c r="I1309" t="str">
        <f t="shared" si="250"/>
        <v>갓 오브 블랙필드</v>
      </c>
      <c r="J1309">
        <v>100</v>
      </c>
      <c r="K1309">
        <v>600</v>
      </c>
      <c r="L1309">
        <v>6</v>
      </c>
      <c r="M1309">
        <v>0</v>
      </c>
      <c r="N1309">
        <v>0</v>
      </c>
      <c r="O1309">
        <v>0</v>
      </c>
      <c r="P1309">
        <v>44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600</v>
      </c>
      <c r="AH1309">
        <v>50</v>
      </c>
      <c r="AI1309">
        <v>0</v>
      </c>
      <c r="AJ1309">
        <v>0</v>
      </c>
      <c r="AK1309">
        <v>600</v>
      </c>
      <c r="AL1309">
        <v>0</v>
      </c>
      <c r="AM1309">
        <v>0</v>
      </c>
      <c r="AN1309">
        <v>0</v>
      </c>
      <c r="AO1309">
        <v>0</v>
      </c>
      <c r="AP1309">
        <v>420</v>
      </c>
      <c r="AT1309" t="str">
        <f t="shared" si="251"/>
        <v>9791137602113</v>
      </c>
      <c r="AV1309" t="str">
        <f t="shared" si="249"/>
        <v>판타지 웹소설 &gt; 현대 판타지</v>
      </c>
    </row>
    <row r="1310" spans="1:48" x14ac:dyDescent="0.4">
      <c r="A1310">
        <v>2313011955</v>
      </c>
      <c r="B1310">
        <v>2313011985</v>
      </c>
      <c r="C1310" t="str">
        <f>T("갓 오브 블랙필드 31화")</f>
        <v>갓 오브 블랙필드 31화</v>
      </c>
      <c r="D1310" t="str">
        <f>T("31")</f>
        <v>31</v>
      </c>
      <c r="E1310" t="str">
        <f t="shared" si="246"/>
        <v>무장</v>
      </c>
      <c r="H1310" t="str">
        <f t="shared" si="245"/>
        <v>스토리위즈</v>
      </c>
      <c r="I1310" t="str">
        <f t="shared" si="250"/>
        <v>갓 오브 블랙필드</v>
      </c>
      <c r="J1310">
        <v>100</v>
      </c>
      <c r="K1310">
        <v>600</v>
      </c>
      <c r="L1310">
        <v>6</v>
      </c>
      <c r="M1310">
        <v>0</v>
      </c>
      <c r="N1310">
        <v>0</v>
      </c>
      <c r="O1310">
        <v>0</v>
      </c>
      <c r="P1310">
        <v>42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600</v>
      </c>
      <c r="AH1310">
        <v>48</v>
      </c>
      <c r="AI1310">
        <v>0</v>
      </c>
      <c r="AJ1310">
        <v>0</v>
      </c>
      <c r="AK1310">
        <v>600</v>
      </c>
      <c r="AL1310">
        <v>0</v>
      </c>
      <c r="AM1310">
        <v>0</v>
      </c>
      <c r="AN1310">
        <v>0</v>
      </c>
      <c r="AO1310">
        <v>0</v>
      </c>
      <c r="AP1310">
        <v>420</v>
      </c>
      <c r="AT1310" t="str">
        <f t="shared" si="251"/>
        <v>9791137602113</v>
      </c>
      <c r="AV1310" t="str">
        <f t="shared" si="249"/>
        <v>판타지 웹소설 &gt; 현대 판타지</v>
      </c>
    </row>
    <row r="1311" spans="1:48" x14ac:dyDescent="0.4">
      <c r="A1311">
        <v>2313011955</v>
      </c>
      <c r="B1311">
        <v>2313011986</v>
      </c>
      <c r="C1311" t="str">
        <f>T("갓 오브 블랙필드 32화")</f>
        <v>갓 오브 블랙필드 32화</v>
      </c>
      <c r="D1311" t="str">
        <f>T("32")</f>
        <v>32</v>
      </c>
      <c r="E1311" t="str">
        <f t="shared" si="246"/>
        <v>무장</v>
      </c>
      <c r="H1311" t="str">
        <f t="shared" si="245"/>
        <v>스토리위즈</v>
      </c>
      <c r="I1311" t="str">
        <f t="shared" si="250"/>
        <v>갓 오브 블랙필드</v>
      </c>
      <c r="J1311">
        <v>100</v>
      </c>
      <c r="K1311">
        <v>600</v>
      </c>
      <c r="L1311">
        <v>6</v>
      </c>
      <c r="M1311">
        <v>0</v>
      </c>
      <c r="N1311">
        <v>0</v>
      </c>
      <c r="O1311">
        <v>0</v>
      </c>
      <c r="P1311">
        <v>42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600</v>
      </c>
      <c r="AH1311">
        <v>48</v>
      </c>
      <c r="AI1311">
        <v>0</v>
      </c>
      <c r="AJ1311">
        <v>0</v>
      </c>
      <c r="AK1311">
        <v>600</v>
      </c>
      <c r="AL1311">
        <v>0</v>
      </c>
      <c r="AM1311">
        <v>0</v>
      </c>
      <c r="AN1311">
        <v>0</v>
      </c>
      <c r="AO1311">
        <v>0</v>
      </c>
      <c r="AP1311">
        <v>420</v>
      </c>
      <c r="AT1311" t="str">
        <f t="shared" si="251"/>
        <v>9791137602113</v>
      </c>
      <c r="AV1311" t="str">
        <f t="shared" si="249"/>
        <v>판타지 웹소설 &gt; 현대 판타지</v>
      </c>
    </row>
    <row r="1312" spans="1:48" x14ac:dyDescent="0.4">
      <c r="A1312">
        <v>2313011955</v>
      </c>
      <c r="B1312">
        <v>2313011987</v>
      </c>
      <c r="C1312" t="str">
        <f>T("갓 오브 블랙필드 33화")</f>
        <v>갓 오브 블랙필드 33화</v>
      </c>
      <c r="D1312" t="str">
        <f>T("33")</f>
        <v>33</v>
      </c>
      <c r="E1312" t="str">
        <f t="shared" si="246"/>
        <v>무장</v>
      </c>
      <c r="H1312" t="str">
        <f t="shared" si="245"/>
        <v>스토리위즈</v>
      </c>
      <c r="I1312" t="str">
        <f t="shared" si="250"/>
        <v>갓 오브 블랙필드</v>
      </c>
      <c r="J1312">
        <v>100</v>
      </c>
      <c r="K1312">
        <v>600</v>
      </c>
      <c r="L1312">
        <v>6</v>
      </c>
      <c r="M1312">
        <v>0</v>
      </c>
      <c r="N1312">
        <v>0</v>
      </c>
      <c r="O1312">
        <v>0</v>
      </c>
      <c r="P1312">
        <v>42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600</v>
      </c>
      <c r="AH1312">
        <v>48</v>
      </c>
      <c r="AI1312">
        <v>0</v>
      </c>
      <c r="AJ1312">
        <v>0</v>
      </c>
      <c r="AK1312">
        <v>600</v>
      </c>
      <c r="AL1312">
        <v>0</v>
      </c>
      <c r="AM1312">
        <v>0</v>
      </c>
      <c r="AN1312">
        <v>0</v>
      </c>
      <c r="AO1312">
        <v>0</v>
      </c>
      <c r="AP1312">
        <v>420</v>
      </c>
      <c r="AT1312" t="str">
        <f t="shared" si="251"/>
        <v>9791137602113</v>
      </c>
      <c r="AV1312" t="str">
        <f t="shared" si="249"/>
        <v>판타지 웹소설 &gt; 현대 판타지</v>
      </c>
    </row>
    <row r="1313" spans="1:48" x14ac:dyDescent="0.4">
      <c r="A1313">
        <v>2313011955</v>
      </c>
      <c r="B1313">
        <v>2313012177</v>
      </c>
      <c r="C1313" t="str">
        <f>T("갓 오브 블랙필드 223화")</f>
        <v>갓 오브 블랙필드 223화</v>
      </c>
      <c r="D1313" t="str">
        <f>T("223")</f>
        <v>223</v>
      </c>
      <c r="E1313" t="str">
        <f t="shared" si="246"/>
        <v>무장</v>
      </c>
      <c r="H1313" t="str">
        <f t="shared" si="245"/>
        <v>스토리위즈</v>
      </c>
      <c r="I1313" t="str">
        <f t="shared" si="250"/>
        <v>갓 오브 블랙필드</v>
      </c>
      <c r="J1313">
        <v>100</v>
      </c>
      <c r="K1313">
        <v>600</v>
      </c>
      <c r="L1313">
        <v>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600</v>
      </c>
      <c r="AH1313">
        <v>6</v>
      </c>
      <c r="AI1313">
        <v>0</v>
      </c>
      <c r="AJ1313">
        <v>0</v>
      </c>
      <c r="AK1313">
        <v>600</v>
      </c>
      <c r="AL1313">
        <v>0</v>
      </c>
      <c r="AM1313">
        <v>0</v>
      </c>
      <c r="AN1313">
        <v>0</v>
      </c>
      <c r="AO1313">
        <v>0</v>
      </c>
      <c r="AP1313">
        <v>420</v>
      </c>
      <c r="AT1313" t="str">
        <f t="shared" si="251"/>
        <v>9791137602113</v>
      </c>
      <c r="AV1313" t="str">
        <f t="shared" si="249"/>
        <v>판타지 웹소설 &gt; 현대 판타지</v>
      </c>
    </row>
    <row r="1314" spans="1:48" x14ac:dyDescent="0.4">
      <c r="A1314">
        <v>2313011955</v>
      </c>
      <c r="B1314">
        <v>2313012178</v>
      </c>
      <c r="C1314" t="str">
        <f>T("갓 오브 블랙필드 224화")</f>
        <v>갓 오브 블랙필드 224화</v>
      </c>
      <c r="D1314" t="str">
        <f>T("224")</f>
        <v>224</v>
      </c>
      <c r="E1314" t="str">
        <f t="shared" si="246"/>
        <v>무장</v>
      </c>
      <c r="H1314" t="str">
        <f t="shared" si="245"/>
        <v>스토리위즈</v>
      </c>
      <c r="I1314" t="str">
        <f t="shared" si="250"/>
        <v>갓 오브 블랙필드</v>
      </c>
      <c r="J1314">
        <v>100</v>
      </c>
      <c r="K1314">
        <v>600</v>
      </c>
      <c r="L1314">
        <v>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600</v>
      </c>
      <c r="AH1314">
        <v>6</v>
      </c>
      <c r="AI1314">
        <v>0</v>
      </c>
      <c r="AJ1314">
        <v>0</v>
      </c>
      <c r="AK1314">
        <v>600</v>
      </c>
      <c r="AL1314">
        <v>0</v>
      </c>
      <c r="AM1314">
        <v>0</v>
      </c>
      <c r="AN1314">
        <v>0</v>
      </c>
      <c r="AO1314">
        <v>0</v>
      </c>
      <c r="AP1314">
        <v>420</v>
      </c>
      <c r="AT1314" t="str">
        <f t="shared" si="251"/>
        <v>9791137602113</v>
      </c>
      <c r="AV1314" t="str">
        <f t="shared" si="249"/>
        <v>판타지 웹소설 &gt; 현대 판타지</v>
      </c>
    </row>
    <row r="1315" spans="1:48" x14ac:dyDescent="0.4">
      <c r="A1315">
        <v>2313011955</v>
      </c>
      <c r="B1315">
        <v>2313012179</v>
      </c>
      <c r="C1315" t="str">
        <f>T("갓 오브 블랙필드 225화")</f>
        <v>갓 오브 블랙필드 225화</v>
      </c>
      <c r="D1315" t="str">
        <f>T("225")</f>
        <v>225</v>
      </c>
      <c r="E1315" t="str">
        <f t="shared" si="246"/>
        <v>무장</v>
      </c>
      <c r="H1315" t="str">
        <f t="shared" si="245"/>
        <v>스토리위즈</v>
      </c>
      <c r="I1315" t="str">
        <f t="shared" si="250"/>
        <v>갓 오브 블랙필드</v>
      </c>
      <c r="J1315">
        <v>100</v>
      </c>
      <c r="K1315">
        <v>600</v>
      </c>
      <c r="L1315">
        <v>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600</v>
      </c>
      <c r="AH1315">
        <v>6</v>
      </c>
      <c r="AI1315">
        <v>0</v>
      </c>
      <c r="AJ1315">
        <v>0</v>
      </c>
      <c r="AK1315">
        <v>600</v>
      </c>
      <c r="AL1315">
        <v>0</v>
      </c>
      <c r="AM1315">
        <v>0</v>
      </c>
      <c r="AN1315">
        <v>0</v>
      </c>
      <c r="AO1315">
        <v>0</v>
      </c>
      <c r="AP1315">
        <v>420</v>
      </c>
      <c r="AT1315" t="str">
        <f t="shared" si="251"/>
        <v>9791137602113</v>
      </c>
      <c r="AV1315" t="str">
        <f t="shared" si="249"/>
        <v>판타지 웹소설 &gt; 현대 판타지</v>
      </c>
    </row>
    <row r="1316" spans="1:48" x14ac:dyDescent="0.4">
      <c r="A1316">
        <v>2313011955</v>
      </c>
      <c r="B1316">
        <v>2313012180</v>
      </c>
      <c r="C1316" t="str">
        <f>T("갓 오브 블랙필드 226화")</f>
        <v>갓 오브 블랙필드 226화</v>
      </c>
      <c r="D1316" t="str">
        <f>T("226")</f>
        <v>226</v>
      </c>
      <c r="E1316" t="str">
        <f t="shared" si="246"/>
        <v>무장</v>
      </c>
      <c r="H1316" t="str">
        <f t="shared" si="245"/>
        <v>스토리위즈</v>
      </c>
      <c r="I1316" t="str">
        <f t="shared" si="250"/>
        <v>갓 오브 블랙필드</v>
      </c>
      <c r="J1316">
        <v>100</v>
      </c>
      <c r="K1316">
        <v>600</v>
      </c>
      <c r="L1316">
        <v>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600</v>
      </c>
      <c r="AH1316">
        <v>6</v>
      </c>
      <c r="AI1316">
        <v>0</v>
      </c>
      <c r="AJ1316">
        <v>0</v>
      </c>
      <c r="AK1316">
        <v>600</v>
      </c>
      <c r="AL1316">
        <v>0</v>
      </c>
      <c r="AM1316">
        <v>0</v>
      </c>
      <c r="AN1316">
        <v>0</v>
      </c>
      <c r="AO1316">
        <v>0</v>
      </c>
      <c r="AP1316">
        <v>420</v>
      </c>
      <c r="AT1316" t="str">
        <f t="shared" si="251"/>
        <v>9791137602113</v>
      </c>
      <c r="AV1316" t="str">
        <f t="shared" si="249"/>
        <v>판타지 웹소설 &gt; 현대 판타지</v>
      </c>
    </row>
    <row r="1317" spans="1:48" x14ac:dyDescent="0.4">
      <c r="A1317">
        <v>2313011955</v>
      </c>
      <c r="B1317">
        <v>2313012181</v>
      </c>
      <c r="C1317" t="str">
        <f>T("갓 오브 블랙필드 227화")</f>
        <v>갓 오브 블랙필드 227화</v>
      </c>
      <c r="D1317" t="str">
        <f>T("227")</f>
        <v>227</v>
      </c>
      <c r="E1317" t="str">
        <f t="shared" si="246"/>
        <v>무장</v>
      </c>
      <c r="H1317" t="str">
        <f t="shared" si="245"/>
        <v>스토리위즈</v>
      </c>
      <c r="I1317" t="str">
        <f t="shared" si="250"/>
        <v>갓 오브 블랙필드</v>
      </c>
      <c r="J1317">
        <v>100</v>
      </c>
      <c r="K1317">
        <v>600</v>
      </c>
      <c r="L1317">
        <v>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600</v>
      </c>
      <c r="AH1317">
        <v>6</v>
      </c>
      <c r="AI1317">
        <v>0</v>
      </c>
      <c r="AJ1317">
        <v>0</v>
      </c>
      <c r="AK1317">
        <v>600</v>
      </c>
      <c r="AL1317">
        <v>0</v>
      </c>
      <c r="AM1317">
        <v>0</v>
      </c>
      <c r="AN1317">
        <v>0</v>
      </c>
      <c r="AO1317">
        <v>0</v>
      </c>
      <c r="AP1317">
        <v>420</v>
      </c>
      <c r="AT1317" t="str">
        <f t="shared" si="251"/>
        <v>9791137602113</v>
      </c>
      <c r="AV1317" t="str">
        <f t="shared" si="249"/>
        <v>판타지 웹소설 &gt; 현대 판타지</v>
      </c>
    </row>
    <row r="1318" spans="1:48" x14ac:dyDescent="0.4">
      <c r="A1318">
        <v>2313011955</v>
      </c>
      <c r="B1318">
        <v>2313012182</v>
      </c>
      <c r="C1318" t="str">
        <f>T("갓 오브 블랙필드 228화")</f>
        <v>갓 오브 블랙필드 228화</v>
      </c>
      <c r="D1318" t="str">
        <f>T("228")</f>
        <v>228</v>
      </c>
      <c r="E1318" t="str">
        <f t="shared" si="246"/>
        <v>무장</v>
      </c>
      <c r="H1318" t="str">
        <f t="shared" si="245"/>
        <v>스토리위즈</v>
      </c>
      <c r="I1318" t="str">
        <f t="shared" si="250"/>
        <v>갓 오브 블랙필드</v>
      </c>
      <c r="J1318">
        <v>100</v>
      </c>
      <c r="K1318">
        <v>600</v>
      </c>
      <c r="L1318">
        <v>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600</v>
      </c>
      <c r="AH1318">
        <v>6</v>
      </c>
      <c r="AI1318">
        <v>0</v>
      </c>
      <c r="AJ1318">
        <v>0</v>
      </c>
      <c r="AK1318">
        <v>600</v>
      </c>
      <c r="AL1318">
        <v>0</v>
      </c>
      <c r="AM1318">
        <v>0</v>
      </c>
      <c r="AN1318">
        <v>0</v>
      </c>
      <c r="AO1318">
        <v>0</v>
      </c>
      <c r="AP1318">
        <v>420</v>
      </c>
      <c r="AT1318" t="str">
        <f t="shared" si="251"/>
        <v>9791137602113</v>
      </c>
      <c r="AV1318" t="str">
        <f t="shared" si="249"/>
        <v>판타지 웹소설 &gt; 현대 판타지</v>
      </c>
    </row>
    <row r="1319" spans="1:48" x14ac:dyDescent="0.4">
      <c r="A1319">
        <v>2313011955</v>
      </c>
      <c r="B1319">
        <v>2313012183</v>
      </c>
      <c r="C1319" t="str">
        <f>T("갓 오브 블랙필드 229화")</f>
        <v>갓 오브 블랙필드 229화</v>
      </c>
      <c r="D1319" t="str">
        <f>T("229")</f>
        <v>229</v>
      </c>
      <c r="E1319" t="str">
        <f t="shared" si="246"/>
        <v>무장</v>
      </c>
      <c r="H1319" t="str">
        <f t="shared" si="245"/>
        <v>스토리위즈</v>
      </c>
      <c r="I1319" t="str">
        <f t="shared" si="250"/>
        <v>갓 오브 블랙필드</v>
      </c>
      <c r="J1319">
        <v>100</v>
      </c>
      <c r="K1319">
        <v>600</v>
      </c>
      <c r="L1319">
        <v>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600</v>
      </c>
      <c r="AH1319">
        <v>6</v>
      </c>
      <c r="AI1319">
        <v>0</v>
      </c>
      <c r="AJ1319">
        <v>0</v>
      </c>
      <c r="AK1319">
        <v>600</v>
      </c>
      <c r="AL1319">
        <v>0</v>
      </c>
      <c r="AM1319">
        <v>0</v>
      </c>
      <c r="AN1319">
        <v>0</v>
      </c>
      <c r="AO1319">
        <v>0</v>
      </c>
      <c r="AP1319">
        <v>420</v>
      </c>
      <c r="AT1319" t="str">
        <f t="shared" si="251"/>
        <v>9791137602113</v>
      </c>
      <c r="AV1319" t="str">
        <f t="shared" si="249"/>
        <v>판타지 웹소설 &gt; 현대 판타지</v>
      </c>
    </row>
    <row r="1320" spans="1:48" x14ac:dyDescent="0.4">
      <c r="A1320">
        <v>2313011955</v>
      </c>
      <c r="B1320">
        <v>2313012184</v>
      </c>
      <c r="C1320" t="str">
        <f>T("갓 오브 블랙필드 230화")</f>
        <v>갓 오브 블랙필드 230화</v>
      </c>
      <c r="D1320" t="str">
        <f>T("230")</f>
        <v>230</v>
      </c>
      <c r="E1320" t="str">
        <f t="shared" si="246"/>
        <v>무장</v>
      </c>
      <c r="H1320" t="str">
        <f t="shared" si="245"/>
        <v>스토리위즈</v>
      </c>
      <c r="I1320" t="str">
        <f t="shared" si="250"/>
        <v>갓 오브 블랙필드</v>
      </c>
      <c r="J1320">
        <v>100</v>
      </c>
      <c r="K1320">
        <v>600</v>
      </c>
      <c r="L1320">
        <v>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600</v>
      </c>
      <c r="AH1320">
        <v>6</v>
      </c>
      <c r="AI1320">
        <v>0</v>
      </c>
      <c r="AJ1320">
        <v>0</v>
      </c>
      <c r="AK1320">
        <v>600</v>
      </c>
      <c r="AL1320">
        <v>0</v>
      </c>
      <c r="AM1320">
        <v>0</v>
      </c>
      <c r="AN1320">
        <v>0</v>
      </c>
      <c r="AO1320">
        <v>0</v>
      </c>
      <c r="AP1320">
        <v>420</v>
      </c>
      <c r="AT1320" t="str">
        <f t="shared" si="251"/>
        <v>9791137602113</v>
      </c>
      <c r="AV1320" t="str">
        <f t="shared" si="249"/>
        <v>판타지 웹소설 &gt; 현대 판타지</v>
      </c>
    </row>
    <row r="1321" spans="1:48" x14ac:dyDescent="0.4">
      <c r="A1321">
        <v>2313011955</v>
      </c>
      <c r="B1321">
        <v>2313012185</v>
      </c>
      <c r="C1321" t="str">
        <f>T("갓 오브 블랙필드 231화")</f>
        <v>갓 오브 블랙필드 231화</v>
      </c>
      <c r="D1321" t="str">
        <f>T("231")</f>
        <v>231</v>
      </c>
      <c r="E1321" t="str">
        <f t="shared" si="246"/>
        <v>무장</v>
      </c>
      <c r="H1321" t="str">
        <f t="shared" si="245"/>
        <v>스토리위즈</v>
      </c>
      <c r="I1321" t="str">
        <f t="shared" si="250"/>
        <v>갓 오브 블랙필드</v>
      </c>
      <c r="J1321">
        <v>100</v>
      </c>
      <c r="K1321">
        <v>600</v>
      </c>
      <c r="L1321">
        <v>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600</v>
      </c>
      <c r="AH1321">
        <v>6</v>
      </c>
      <c r="AI1321">
        <v>0</v>
      </c>
      <c r="AJ1321">
        <v>0</v>
      </c>
      <c r="AK1321">
        <v>500</v>
      </c>
      <c r="AL1321">
        <v>0</v>
      </c>
      <c r="AM1321">
        <v>120</v>
      </c>
      <c r="AN1321">
        <v>-36</v>
      </c>
      <c r="AO1321">
        <v>0</v>
      </c>
      <c r="AP1321">
        <v>408.8</v>
      </c>
      <c r="AT1321" t="str">
        <f t="shared" si="251"/>
        <v>9791137602113</v>
      </c>
      <c r="AV1321" t="str">
        <f t="shared" si="249"/>
        <v>판타지 웹소설 &gt; 현대 판타지</v>
      </c>
    </row>
    <row r="1322" spans="1:48" x14ac:dyDescent="0.4">
      <c r="A1322">
        <v>2313011955</v>
      </c>
      <c r="B1322">
        <v>2313012199</v>
      </c>
      <c r="C1322" t="str">
        <f>T("갓 오브 블랙필드 245화")</f>
        <v>갓 오브 블랙필드 245화</v>
      </c>
      <c r="D1322" t="str">
        <f>T("245")</f>
        <v>245</v>
      </c>
      <c r="E1322" t="str">
        <f t="shared" si="246"/>
        <v>무장</v>
      </c>
      <c r="H1322" t="str">
        <f t="shared" si="245"/>
        <v>스토리위즈</v>
      </c>
      <c r="I1322" t="str">
        <f t="shared" si="250"/>
        <v>갓 오브 블랙필드</v>
      </c>
      <c r="J1322">
        <v>100</v>
      </c>
      <c r="K1322">
        <v>600</v>
      </c>
      <c r="L1322">
        <v>6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600</v>
      </c>
      <c r="AH1322">
        <v>6</v>
      </c>
      <c r="AI1322">
        <v>0</v>
      </c>
      <c r="AJ1322">
        <v>0</v>
      </c>
      <c r="AK1322">
        <v>600</v>
      </c>
      <c r="AL1322">
        <v>0</v>
      </c>
      <c r="AM1322">
        <v>0</v>
      </c>
      <c r="AN1322">
        <v>0</v>
      </c>
      <c r="AO1322">
        <v>0</v>
      </c>
      <c r="AP1322">
        <v>420</v>
      </c>
      <c r="AT1322" t="str">
        <f t="shared" si="251"/>
        <v>9791137602113</v>
      </c>
      <c r="AV1322" t="str">
        <f t="shared" si="249"/>
        <v>판타지 웹소설 &gt; 현대 판타지</v>
      </c>
    </row>
    <row r="1323" spans="1:48" x14ac:dyDescent="0.4">
      <c r="A1323">
        <v>2313011955</v>
      </c>
      <c r="B1323">
        <v>2313012201</v>
      </c>
      <c r="C1323" t="str">
        <f>T("갓 오브 블랙필드 247화")</f>
        <v>갓 오브 블랙필드 247화</v>
      </c>
      <c r="D1323" t="str">
        <f>T("247")</f>
        <v>247</v>
      </c>
      <c r="E1323" t="str">
        <f t="shared" si="246"/>
        <v>무장</v>
      </c>
      <c r="H1323" t="str">
        <f t="shared" si="245"/>
        <v>스토리위즈</v>
      </c>
      <c r="I1323" t="str">
        <f t="shared" si="250"/>
        <v>갓 오브 블랙필드</v>
      </c>
      <c r="J1323">
        <v>100</v>
      </c>
      <c r="K1323">
        <v>600</v>
      </c>
      <c r="L1323">
        <v>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600</v>
      </c>
      <c r="AH1323">
        <v>6</v>
      </c>
      <c r="AI1323">
        <v>0</v>
      </c>
      <c r="AJ1323">
        <v>0</v>
      </c>
      <c r="AK1323">
        <v>600</v>
      </c>
      <c r="AL1323">
        <v>0</v>
      </c>
      <c r="AM1323">
        <v>0</v>
      </c>
      <c r="AN1323">
        <v>0</v>
      </c>
      <c r="AO1323">
        <v>0</v>
      </c>
      <c r="AP1323">
        <v>420</v>
      </c>
      <c r="AT1323" t="str">
        <f t="shared" si="251"/>
        <v>9791137602113</v>
      </c>
      <c r="AV1323" t="str">
        <f t="shared" si="249"/>
        <v>판타지 웹소설 &gt; 현대 판타지</v>
      </c>
    </row>
    <row r="1324" spans="1:48" x14ac:dyDescent="0.4">
      <c r="A1324">
        <v>2313011955</v>
      </c>
      <c r="B1324">
        <v>2313012202</v>
      </c>
      <c r="C1324" t="str">
        <f>T("갓 오브 블랙필드 248화")</f>
        <v>갓 오브 블랙필드 248화</v>
      </c>
      <c r="D1324" t="str">
        <f>T("248")</f>
        <v>248</v>
      </c>
      <c r="E1324" t="str">
        <f t="shared" si="246"/>
        <v>무장</v>
      </c>
      <c r="H1324" t="str">
        <f t="shared" si="245"/>
        <v>스토리위즈</v>
      </c>
      <c r="I1324" t="str">
        <f t="shared" si="250"/>
        <v>갓 오브 블랙필드</v>
      </c>
      <c r="J1324">
        <v>100</v>
      </c>
      <c r="K1324">
        <v>600</v>
      </c>
      <c r="L1324">
        <v>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600</v>
      </c>
      <c r="AH1324">
        <v>6</v>
      </c>
      <c r="AI1324">
        <v>0</v>
      </c>
      <c r="AJ1324">
        <v>0</v>
      </c>
      <c r="AK1324">
        <v>600</v>
      </c>
      <c r="AL1324">
        <v>0</v>
      </c>
      <c r="AM1324">
        <v>0</v>
      </c>
      <c r="AN1324">
        <v>0</v>
      </c>
      <c r="AO1324">
        <v>0</v>
      </c>
      <c r="AP1324">
        <v>420</v>
      </c>
      <c r="AT1324" t="str">
        <f t="shared" si="251"/>
        <v>9791137602113</v>
      </c>
      <c r="AV1324" t="str">
        <f t="shared" si="249"/>
        <v>판타지 웹소설 &gt; 현대 판타지</v>
      </c>
    </row>
    <row r="1325" spans="1:48" x14ac:dyDescent="0.4">
      <c r="A1325">
        <v>2313011955</v>
      </c>
      <c r="B1325">
        <v>2313012203</v>
      </c>
      <c r="C1325" t="str">
        <f>T("갓 오브 블랙필드 249화")</f>
        <v>갓 오브 블랙필드 249화</v>
      </c>
      <c r="D1325" t="str">
        <f>T("249")</f>
        <v>249</v>
      </c>
      <c r="E1325" t="str">
        <f t="shared" si="246"/>
        <v>무장</v>
      </c>
      <c r="H1325" t="str">
        <f t="shared" si="245"/>
        <v>스토리위즈</v>
      </c>
      <c r="I1325" t="str">
        <f t="shared" si="250"/>
        <v>갓 오브 블랙필드</v>
      </c>
      <c r="J1325">
        <v>100</v>
      </c>
      <c r="K1325">
        <v>600</v>
      </c>
      <c r="L1325">
        <v>6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600</v>
      </c>
      <c r="AH1325">
        <v>6</v>
      </c>
      <c r="AI1325">
        <v>0</v>
      </c>
      <c r="AJ1325">
        <v>0</v>
      </c>
      <c r="AK1325">
        <v>600</v>
      </c>
      <c r="AL1325">
        <v>0</v>
      </c>
      <c r="AM1325">
        <v>0</v>
      </c>
      <c r="AN1325">
        <v>0</v>
      </c>
      <c r="AO1325">
        <v>0</v>
      </c>
      <c r="AP1325">
        <v>420</v>
      </c>
      <c r="AT1325" t="str">
        <f t="shared" si="251"/>
        <v>9791137602113</v>
      </c>
      <c r="AV1325" t="str">
        <f t="shared" si="249"/>
        <v>판타지 웹소설 &gt; 현대 판타지</v>
      </c>
    </row>
    <row r="1326" spans="1:48" x14ac:dyDescent="0.4">
      <c r="A1326">
        <v>2313011955</v>
      </c>
      <c r="B1326">
        <v>2313012204</v>
      </c>
      <c r="C1326" t="str">
        <f>T("갓 오브 블랙필드 250화")</f>
        <v>갓 오브 블랙필드 250화</v>
      </c>
      <c r="D1326" t="str">
        <f>T("250")</f>
        <v>250</v>
      </c>
      <c r="E1326" t="str">
        <f t="shared" si="246"/>
        <v>무장</v>
      </c>
      <c r="H1326" t="str">
        <f t="shared" si="245"/>
        <v>스토리위즈</v>
      </c>
      <c r="I1326" t="str">
        <f t="shared" si="250"/>
        <v>갓 오브 블랙필드</v>
      </c>
      <c r="J1326">
        <v>100</v>
      </c>
      <c r="K1326">
        <v>600</v>
      </c>
      <c r="L1326">
        <v>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600</v>
      </c>
      <c r="AH1326">
        <v>6</v>
      </c>
      <c r="AI1326">
        <v>0</v>
      </c>
      <c r="AJ1326">
        <v>0</v>
      </c>
      <c r="AK1326">
        <v>600</v>
      </c>
      <c r="AL1326">
        <v>0</v>
      </c>
      <c r="AM1326">
        <v>0</v>
      </c>
      <c r="AN1326">
        <v>0</v>
      </c>
      <c r="AO1326">
        <v>0</v>
      </c>
      <c r="AP1326">
        <v>420</v>
      </c>
      <c r="AT1326" t="str">
        <f t="shared" si="251"/>
        <v>9791137602113</v>
      </c>
      <c r="AV1326" t="str">
        <f t="shared" si="249"/>
        <v>판타지 웹소설 &gt; 현대 판타지</v>
      </c>
    </row>
    <row r="1327" spans="1:48" x14ac:dyDescent="0.4">
      <c r="A1327">
        <v>2313011955</v>
      </c>
      <c r="B1327">
        <v>2313012205</v>
      </c>
      <c r="C1327" t="str">
        <f>T("갓 오브 블랙필드 251화")</f>
        <v>갓 오브 블랙필드 251화</v>
      </c>
      <c r="D1327" t="str">
        <f>T("251")</f>
        <v>251</v>
      </c>
      <c r="E1327" t="str">
        <f t="shared" si="246"/>
        <v>무장</v>
      </c>
      <c r="H1327" t="str">
        <f t="shared" si="245"/>
        <v>스토리위즈</v>
      </c>
      <c r="I1327" t="str">
        <f t="shared" si="250"/>
        <v>갓 오브 블랙필드</v>
      </c>
      <c r="J1327">
        <v>100</v>
      </c>
      <c r="K1327">
        <v>600</v>
      </c>
      <c r="L1327">
        <v>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600</v>
      </c>
      <c r="AH1327">
        <v>6</v>
      </c>
      <c r="AI1327">
        <v>0</v>
      </c>
      <c r="AJ1327">
        <v>0</v>
      </c>
      <c r="AK1327">
        <v>600</v>
      </c>
      <c r="AL1327">
        <v>0</v>
      </c>
      <c r="AM1327">
        <v>0</v>
      </c>
      <c r="AN1327">
        <v>0</v>
      </c>
      <c r="AO1327">
        <v>0</v>
      </c>
      <c r="AP1327">
        <v>420</v>
      </c>
      <c r="AT1327" t="str">
        <f t="shared" si="251"/>
        <v>9791137602113</v>
      </c>
      <c r="AV1327" t="str">
        <f t="shared" si="249"/>
        <v>판타지 웹소설 &gt; 현대 판타지</v>
      </c>
    </row>
    <row r="1328" spans="1:48" x14ac:dyDescent="0.4">
      <c r="A1328">
        <v>2313012849</v>
      </c>
      <c r="B1328">
        <v>2313012987</v>
      </c>
      <c r="C1328" t="str">
        <f>T("디버프 마스터 139화")</f>
        <v>디버프 마스터 139화</v>
      </c>
      <c r="D1328" t="str">
        <f>T("139")</f>
        <v>139</v>
      </c>
      <c r="E1328" t="str">
        <f t="shared" ref="E1328:E1333" si="252">T("담화공")</f>
        <v>담화공</v>
      </c>
      <c r="H1328" t="str">
        <f t="shared" si="245"/>
        <v>스토리위즈</v>
      </c>
      <c r="I1328" t="str">
        <f t="shared" ref="I1328:I1333" si="253">T("디버프 마스터")</f>
        <v>디버프 마스터</v>
      </c>
      <c r="J1328">
        <v>100</v>
      </c>
      <c r="K1328">
        <v>600</v>
      </c>
      <c r="L1328">
        <v>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600</v>
      </c>
      <c r="AH1328">
        <v>6</v>
      </c>
      <c r="AI1328">
        <v>0</v>
      </c>
      <c r="AJ1328">
        <v>0</v>
      </c>
      <c r="AK1328">
        <v>500</v>
      </c>
      <c r="AL1328">
        <v>0</v>
      </c>
      <c r="AM1328">
        <v>119.05</v>
      </c>
      <c r="AN1328">
        <v>-35.72</v>
      </c>
      <c r="AO1328">
        <v>0</v>
      </c>
      <c r="AP1328">
        <v>408.33</v>
      </c>
      <c r="AT1328" t="str">
        <f t="shared" ref="AT1328:AT1333" si="254">T("9791137602663")</f>
        <v>9791137602663</v>
      </c>
      <c r="AV1328" t="str">
        <f t="shared" ref="AV1328:AV1333" si="255">T("판타지 웹소설 &gt; 퓨전 판타지")</f>
        <v>판타지 웹소설 &gt; 퓨전 판타지</v>
      </c>
    </row>
    <row r="1329" spans="1:49" x14ac:dyDescent="0.4">
      <c r="A1329">
        <v>2313012849</v>
      </c>
      <c r="B1329">
        <v>2313012990</v>
      </c>
      <c r="C1329" t="str">
        <f>T("디버프 마스터 142화")</f>
        <v>디버프 마스터 142화</v>
      </c>
      <c r="D1329" t="str">
        <f>T("142")</f>
        <v>142</v>
      </c>
      <c r="E1329" t="str">
        <f t="shared" si="252"/>
        <v>담화공</v>
      </c>
      <c r="H1329" t="str">
        <f t="shared" si="245"/>
        <v>스토리위즈</v>
      </c>
      <c r="I1329" t="str">
        <f t="shared" si="253"/>
        <v>디버프 마스터</v>
      </c>
      <c r="J1329">
        <v>100</v>
      </c>
      <c r="K1329">
        <v>600</v>
      </c>
      <c r="L1329">
        <v>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600</v>
      </c>
      <c r="AH1329">
        <v>6</v>
      </c>
      <c r="AI1329">
        <v>0</v>
      </c>
      <c r="AJ1329">
        <v>0</v>
      </c>
      <c r="AK1329">
        <v>500</v>
      </c>
      <c r="AL1329">
        <v>0</v>
      </c>
      <c r="AM1329">
        <v>119.05</v>
      </c>
      <c r="AN1329">
        <v>-35.72</v>
      </c>
      <c r="AO1329">
        <v>0</v>
      </c>
      <c r="AP1329">
        <v>408.33</v>
      </c>
      <c r="AT1329" t="str">
        <f t="shared" si="254"/>
        <v>9791137602663</v>
      </c>
      <c r="AV1329" t="str">
        <f t="shared" si="255"/>
        <v>판타지 웹소설 &gt; 퓨전 판타지</v>
      </c>
    </row>
    <row r="1330" spans="1:49" x14ac:dyDescent="0.4">
      <c r="A1330">
        <v>2313012849</v>
      </c>
      <c r="B1330">
        <v>2313012994</v>
      </c>
      <c r="C1330" t="str">
        <f>T("디버프 마스터 146화")</f>
        <v>디버프 마스터 146화</v>
      </c>
      <c r="D1330" t="str">
        <f>T("146")</f>
        <v>146</v>
      </c>
      <c r="E1330" t="str">
        <f t="shared" si="252"/>
        <v>담화공</v>
      </c>
      <c r="H1330" t="str">
        <f t="shared" si="245"/>
        <v>스토리위즈</v>
      </c>
      <c r="I1330" t="str">
        <f t="shared" si="253"/>
        <v>디버프 마스터</v>
      </c>
      <c r="J1330">
        <v>100</v>
      </c>
      <c r="K1330">
        <v>600</v>
      </c>
      <c r="L1330">
        <v>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600</v>
      </c>
      <c r="AH1330">
        <v>6</v>
      </c>
      <c r="AI1330">
        <v>0</v>
      </c>
      <c r="AJ1330">
        <v>0</v>
      </c>
      <c r="AK1330">
        <v>500</v>
      </c>
      <c r="AL1330">
        <v>0</v>
      </c>
      <c r="AM1330">
        <v>119.05</v>
      </c>
      <c r="AN1330">
        <v>-35.72</v>
      </c>
      <c r="AO1330">
        <v>0</v>
      </c>
      <c r="AP1330">
        <v>408.33</v>
      </c>
      <c r="AT1330" t="str">
        <f t="shared" si="254"/>
        <v>9791137602663</v>
      </c>
      <c r="AV1330" t="str">
        <f t="shared" si="255"/>
        <v>판타지 웹소설 &gt; 퓨전 판타지</v>
      </c>
    </row>
    <row r="1331" spans="1:49" x14ac:dyDescent="0.4">
      <c r="A1331">
        <v>2313012849</v>
      </c>
      <c r="B1331">
        <v>2313013049</v>
      </c>
      <c r="C1331" t="str">
        <f>T("디버프 마스터 201화")</f>
        <v>디버프 마스터 201화</v>
      </c>
      <c r="D1331" t="str">
        <f>T("201")</f>
        <v>201</v>
      </c>
      <c r="E1331" t="str">
        <f t="shared" si="252"/>
        <v>담화공</v>
      </c>
      <c r="H1331" t="str">
        <f t="shared" si="245"/>
        <v>스토리위즈</v>
      </c>
      <c r="I1331" t="str">
        <f t="shared" si="253"/>
        <v>디버프 마스터</v>
      </c>
      <c r="J1331">
        <v>100</v>
      </c>
      <c r="K1331">
        <v>600</v>
      </c>
      <c r="L1331">
        <v>6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600</v>
      </c>
      <c r="AH1331">
        <v>6</v>
      </c>
      <c r="AI1331">
        <v>0</v>
      </c>
      <c r="AJ1331">
        <v>0</v>
      </c>
      <c r="AK1331">
        <v>600</v>
      </c>
      <c r="AL1331">
        <v>0</v>
      </c>
      <c r="AM1331">
        <v>0</v>
      </c>
      <c r="AN1331">
        <v>0</v>
      </c>
      <c r="AO1331">
        <v>0</v>
      </c>
      <c r="AP1331">
        <v>420</v>
      </c>
      <c r="AT1331" t="str">
        <f t="shared" si="254"/>
        <v>9791137602663</v>
      </c>
      <c r="AV1331" t="str">
        <f t="shared" si="255"/>
        <v>판타지 웹소설 &gt; 퓨전 판타지</v>
      </c>
    </row>
    <row r="1332" spans="1:49" x14ac:dyDescent="0.4">
      <c r="A1332">
        <v>2313012849</v>
      </c>
      <c r="B1332">
        <v>2313013081</v>
      </c>
      <c r="C1332" t="str">
        <f>T("디버프 마스터 233화")</f>
        <v>디버프 마스터 233화</v>
      </c>
      <c r="D1332" t="str">
        <f>T("233")</f>
        <v>233</v>
      </c>
      <c r="E1332" t="str">
        <f t="shared" si="252"/>
        <v>담화공</v>
      </c>
      <c r="H1332" t="str">
        <f t="shared" si="245"/>
        <v>스토리위즈</v>
      </c>
      <c r="I1332" t="str">
        <f t="shared" si="253"/>
        <v>디버프 마스터</v>
      </c>
      <c r="J1332">
        <v>100</v>
      </c>
      <c r="K1332">
        <v>600</v>
      </c>
      <c r="L1332">
        <v>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600</v>
      </c>
      <c r="AH1332">
        <v>6</v>
      </c>
      <c r="AI1332">
        <v>0</v>
      </c>
      <c r="AJ1332">
        <v>0</v>
      </c>
      <c r="AK1332">
        <v>600</v>
      </c>
      <c r="AL1332">
        <v>0</v>
      </c>
      <c r="AM1332">
        <v>0</v>
      </c>
      <c r="AN1332">
        <v>0</v>
      </c>
      <c r="AO1332">
        <v>0</v>
      </c>
      <c r="AP1332">
        <v>420</v>
      </c>
      <c r="AT1332" t="str">
        <f t="shared" si="254"/>
        <v>9791137602663</v>
      </c>
      <c r="AV1332" t="str">
        <f t="shared" si="255"/>
        <v>판타지 웹소설 &gt; 퓨전 판타지</v>
      </c>
    </row>
    <row r="1333" spans="1:49" x14ac:dyDescent="0.4">
      <c r="A1333">
        <v>2313012849</v>
      </c>
      <c r="B1333">
        <v>2313013088</v>
      </c>
      <c r="C1333" t="str">
        <f>T("디버프 마스터 240화")</f>
        <v>디버프 마스터 240화</v>
      </c>
      <c r="D1333" t="str">
        <f>T("240")</f>
        <v>240</v>
      </c>
      <c r="E1333" t="str">
        <f t="shared" si="252"/>
        <v>담화공</v>
      </c>
      <c r="H1333" t="str">
        <f t="shared" si="245"/>
        <v>스토리위즈</v>
      </c>
      <c r="I1333" t="str">
        <f t="shared" si="253"/>
        <v>디버프 마스터</v>
      </c>
      <c r="J1333">
        <v>100</v>
      </c>
      <c r="K1333">
        <v>600</v>
      </c>
      <c r="L1333">
        <v>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600</v>
      </c>
      <c r="AH1333">
        <v>6</v>
      </c>
      <c r="AI1333">
        <v>0</v>
      </c>
      <c r="AJ1333">
        <v>0</v>
      </c>
      <c r="AK1333">
        <v>600</v>
      </c>
      <c r="AL1333">
        <v>0</v>
      </c>
      <c r="AM1333">
        <v>0</v>
      </c>
      <c r="AN1333">
        <v>0</v>
      </c>
      <c r="AO1333">
        <v>0</v>
      </c>
      <c r="AP1333">
        <v>420</v>
      </c>
      <c r="AT1333" t="str">
        <f t="shared" si="254"/>
        <v>9791137602663</v>
      </c>
      <c r="AV1333" t="str">
        <f t="shared" si="255"/>
        <v>판타지 웹소설 &gt; 퓨전 판타지</v>
      </c>
    </row>
    <row r="1334" spans="1:49" x14ac:dyDescent="0.4">
      <c r="A1334">
        <v>2313017079</v>
      </c>
      <c r="B1334">
        <v>2313017055</v>
      </c>
      <c r="C1334" t="str">
        <f>T("[e북]중독 (외전)")</f>
        <v>[e북]중독 (외전)</v>
      </c>
      <c r="D1334" t="str">
        <f>T("2")</f>
        <v>2</v>
      </c>
      <c r="E1334" t="str">
        <f>T("문스톤")</f>
        <v>문스톤</v>
      </c>
      <c r="H1334" t="str">
        <f>T("도서출판 태랑")</f>
        <v>도서출판 태랑</v>
      </c>
      <c r="I1334" t="str">
        <f>T("[e북]중독")</f>
        <v>[e북]중독</v>
      </c>
      <c r="J1334">
        <v>300</v>
      </c>
      <c r="K1334">
        <v>600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600</v>
      </c>
      <c r="AH1334">
        <v>2</v>
      </c>
      <c r="AI1334">
        <v>0</v>
      </c>
      <c r="AJ1334">
        <v>0</v>
      </c>
      <c r="AK1334">
        <v>600</v>
      </c>
      <c r="AL1334">
        <v>0</v>
      </c>
      <c r="AM1334">
        <v>0</v>
      </c>
      <c r="AN1334">
        <v>0</v>
      </c>
      <c r="AO1334">
        <v>0</v>
      </c>
      <c r="AP1334">
        <v>420</v>
      </c>
      <c r="AT1334" t="str">
        <f>T("9791164370788")</f>
        <v>9791164370788</v>
      </c>
      <c r="AV1334" t="str">
        <f>T("로맨스 e북 &gt; 현대물")</f>
        <v>로맨스 e북 &gt; 현대물</v>
      </c>
      <c r="AW1334" t="str">
        <f>T("로맨스 e북 &gt; 19+")</f>
        <v>로맨스 e북 &gt; 19+</v>
      </c>
    </row>
    <row r="1335" spans="1:49" x14ac:dyDescent="0.4">
      <c r="A1335">
        <v>2313008150</v>
      </c>
      <c r="B1335">
        <v>2313008175</v>
      </c>
      <c r="C1335" t="str">
        <f>T("기사가문 망나니는 10클래스 26화")</f>
        <v>기사가문 망나니는 10클래스 26화</v>
      </c>
      <c r="D1335" t="str">
        <f>T("26")</f>
        <v>26</v>
      </c>
      <c r="E1335" t="str">
        <f>T("예로나")</f>
        <v>예로나</v>
      </c>
      <c r="H1335" t="str">
        <f t="shared" ref="H1335:H1392" si="256">T("스토리위즈")</f>
        <v>스토리위즈</v>
      </c>
      <c r="I1335" t="str">
        <f>T("기사가문 망나니는 10클래스")</f>
        <v>기사가문 망나니는 10클래스</v>
      </c>
      <c r="J1335">
        <v>100</v>
      </c>
      <c r="K1335">
        <v>500</v>
      </c>
      <c r="L1335">
        <v>5</v>
      </c>
      <c r="M1335">
        <v>0</v>
      </c>
      <c r="N1335">
        <v>100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600</v>
      </c>
      <c r="AH1335">
        <v>6</v>
      </c>
      <c r="AI1335">
        <v>0</v>
      </c>
      <c r="AJ1335">
        <v>0</v>
      </c>
      <c r="AK1335">
        <v>500</v>
      </c>
      <c r="AL1335">
        <v>0</v>
      </c>
      <c r="AM1335">
        <v>120</v>
      </c>
      <c r="AN1335">
        <v>-36</v>
      </c>
      <c r="AO1335">
        <v>0</v>
      </c>
      <c r="AP1335">
        <v>408.8</v>
      </c>
      <c r="AT1335" t="str">
        <f>T("9791165310370")</f>
        <v>9791165310370</v>
      </c>
      <c r="AV1335" t="str">
        <f>T("판타지 웹소설 &gt; 퓨전 판타지")</f>
        <v>판타지 웹소설 &gt; 퓨전 판타지</v>
      </c>
    </row>
    <row r="1336" spans="1:49" x14ac:dyDescent="0.4">
      <c r="A1336">
        <v>2313011400</v>
      </c>
      <c r="B1336">
        <v>2313011425</v>
      </c>
      <c r="C1336" t="str">
        <f>T("최종 보스 2권 4화")</f>
        <v>최종 보스 2권 4화</v>
      </c>
      <c r="D1336" t="str">
        <f>T("26")</f>
        <v>26</v>
      </c>
      <c r="E1336" t="str">
        <f t="shared" ref="E1336:E1382" si="257">T("무장")</f>
        <v>무장</v>
      </c>
      <c r="H1336" t="str">
        <f t="shared" si="256"/>
        <v>스토리위즈</v>
      </c>
      <c r="I1336" t="str">
        <f>T("최종 보스 : 빛을 향해 달리는 그림자")</f>
        <v>최종 보스 : 빛을 향해 달리는 그림자</v>
      </c>
      <c r="J1336">
        <v>100</v>
      </c>
      <c r="K1336">
        <v>500</v>
      </c>
      <c r="L1336">
        <v>5</v>
      </c>
      <c r="M1336">
        <v>0</v>
      </c>
      <c r="N1336">
        <v>100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600</v>
      </c>
      <c r="AH1336">
        <v>6</v>
      </c>
      <c r="AI1336">
        <v>0</v>
      </c>
      <c r="AJ1336">
        <v>0</v>
      </c>
      <c r="AK1336">
        <v>600</v>
      </c>
      <c r="AL1336">
        <v>0</v>
      </c>
      <c r="AM1336">
        <v>0</v>
      </c>
      <c r="AN1336">
        <v>0</v>
      </c>
      <c r="AO1336">
        <v>0</v>
      </c>
      <c r="AP1336">
        <v>420</v>
      </c>
      <c r="AT1336" t="str">
        <f>T("9791166067563")</f>
        <v>9791166067563</v>
      </c>
      <c r="AV1336" t="str">
        <f t="shared" ref="AV1336:AV1382" si="258">T("판타지 웹소설 &gt; 현대 판타지")</f>
        <v>판타지 웹소설 &gt; 현대 판타지</v>
      </c>
    </row>
    <row r="1337" spans="1:49" x14ac:dyDescent="0.4">
      <c r="A1337">
        <v>2313011400</v>
      </c>
      <c r="B1337">
        <v>2313011444</v>
      </c>
      <c r="C1337" t="str">
        <f>T("최종 보스 2권 23화")</f>
        <v>최종 보스 2권 23화</v>
      </c>
      <c r="D1337" t="str">
        <f>T("45")</f>
        <v>45</v>
      </c>
      <c r="E1337" t="str">
        <f t="shared" si="257"/>
        <v>무장</v>
      </c>
      <c r="H1337" t="str">
        <f t="shared" si="256"/>
        <v>스토리위즈</v>
      </c>
      <c r="I1337" t="str">
        <f>T("최종 보스 : 빛을 향해 달리는 그림자")</f>
        <v>최종 보스 : 빛을 향해 달리는 그림자</v>
      </c>
      <c r="J1337">
        <v>100</v>
      </c>
      <c r="K1337">
        <v>500</v>
      </c>
      <c r="L1337">
        <v>5</v>
      </c>
      <c r="M1337">
        <v>0</v>
      </c>
      <c r="N1337">
        <v>100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600</v>
      </c>
      <c r="AH1337">
        <v>6</v>
      </c>
      <c r="AI1337">
        <v>0</v>
      </c>
      <c r="AJ1337">
        <v>0</v>
      </c>
      <c r="AK1337">
        <v>600</v>
      </c>
      <c r="AL1337">
        <v>0</v>
      </c>
      <c r="AM1337">
        <v>0</v>
      </c>
      <c r="AN1337">
        <v>0</v>
      </c>
      <c r="AO1337">
        <v>0</v>
      </c>
      <c r="AP1337">
        <v>420</v>
      </c>
      <c r="AT1337" t="str">
        <f>T("9791166067563")</f>
        <v>9791166067563</v>
      </c>
      <c r="AV1337" t="str">
        <f t="shared" si="258"/>
        <v>판타지 웹소설 &gt; 현대 판타지</v>
      </c>
    </row>
    <row r="1338" spans="1:49" x14ac:dyDescent="0.4">
      <c r="A1338">
        <v>2313011955</v>
      </c>
      <c r="B1338">
        <v>2313011975</v>
      </c>
      <c r="C1338" t="str">
        <f>T("갓 오브 블랙필드 21화")</f>
        <v>갓 오브 블랙필드 21화</v>
      </c>
      <c r="D1338" t="str">
        <f>T("21")</f>
        <v>21</v>
      </c>
      <c r="E1338" t="str">
        <f t="shared" si="257"/>
        <v>무장</v>
      </c>
      <c r="H1338" t="str">
        <f t="shared" si="256"/>
        <v>스토리위즈</v>
      </c>
      <c r="I1338" t="str">
        <f t="shared" ref="I1338:I1382" si="259">T("갓 오브 블랙필드")</f>
        <v>갓 오브 블랙필드</v>
      </c>
      <c r="J1338">
        <v>100</v>
      </c>
      <c r="K1338">
        <v>500</v>
      </c>
      <c r="L1338">
        <v>5</v>
      </c>
      <c r="M1338">
        <v>0</v>
      </c>
      <c r="N1338">
        <v>0</v>
      </c>
      <c r="O1338">
        <v>0</v>
      </c>
      <c r="P1338">
        <v>41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500</v>
      </c>
      <c r="AH1338">
        <v>46</v>
      </c>
      <c r="AI1338">
        <v>0</v>
      </c>
      <c r="AJ1338">
        <v>0</v>
      </c>
      <c r="AK1338">
        <v>500</v>
      </c>
      <c r="AL1338">
        <v>0</v>
      </c>
      <c r="AM1338">
        <v>0</v>
      </c>
      <c r="AN1338">
        <v>0</v>
      </c>
      <c r="AO1338">
        <v>0</v>
      </c>
      <c r="AP1338">
        <v>350</v>
      </c>
      <c r="AT1338" t="str">
        <f t="shared" ref="AT1338:AT1382" si="260">T("9791137602113")</f>
        <v>9791137602113</v>
      </c>
      <c r="AV1338" t="str">
        <f t="shared" si="258"/>
        <v>판타지 웹소설 &gt; 현대 판타지</v>
      </c>
    </row>
    <row r="1339" spans="1:49" x14ac:dyDescent="0.4">
      <c r="A1339">
        <v>2313011955</v>
      </c>
      <c r="B1339">
        <v>2313011976</v>
      </c>
      <c r="C1339" t="str">
        <f>T("갓 오브 블랙필드 22화")</f>
        <v>갓 오브 블랙필드 22화</v>
      </c>
      <c r="D1339" t="str">
        <f>T("22")</f>
        <v>22</v>
      </c>
      <c r="E1339" t="str">
        <f t="shared" si="257"/>
        <v>무장</v>
      </c>
      <c r="H1339" t="str">
        <f t="shared" si="256"/>
        <v>스토리위즈</v>
      </c>
      <c r="I1339" t="str">
        <f t="shared" si="259"/>
        <v>갓 오브 블랙필드</v>
      </c>
      <c r="J1339">
        <v>100</v>
      </c>
      <c r="K1339">
        <v>500</v>
      </c>
      <c r="L1339">
        <v>5</v>
      </c>
      <c r="M1339">
        <v>0</v>
      </c>
      <c r="N1339">
        <v>0</v>
      </c>
      <c r="O1339">
        <v>0</v>
      </c>
      <c r="P1339">
        <v>40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500</v>
      </c>
      <c r="AH1339">
        <v>45</v>
      </c>
      <c r="AI1339">
        <v>0</v>
      </c>
      <c r="AJ1339">
        <v>0</v>
      </c>
      <c r="AK1339">
        <v>500</v>
      </c>
      <c r="AL1339">
        <v>0</v>
      </c>
      <c r="AM1339">
        <v>0</v>
      </c>
      <c r="AN1339">
        <v>0</v>
      </c>
      <c r="AO1339">
        <v>0</v>
      </c>
      <c r="AP1339">
        <v>350</v>
      </c>
      <c r="AT1339" t="str">
        <f t="shared" si="260"/>
        <v>9791137602113</v>
      </c>
      <c r="AV1339" t="str">
        <f t="shared" si="258"/>
        <v>판타지 웹소설 &gt; 현대 판타지</v>
      </c>
    </row>
    <row r="1340" spans="1:49" x14ac:dyDescent="0.4">
      <c r="A1340">
        <v>2313011955</v>
      </c>
      <c r="B1340">
        <v>2313011977</v>
      </c>
      <c r="C1340" t="str">
        <f>T("갓 오브 블랙필드 23화")</f>
        <v>갓 오브 블랙필드 23화</v>
      </c>
      <c r="D1340" t="str">
        <f>T("23")</f>
        <v>23</v>
      </c>
      <c r="E1340" t="str">
        <f t="shared" si="257"/>
        <v>무장</v>
      </c>
      <c r="H1340" t="str">
        <f t="shared" si="256"/>
        <v>스토리위즈</v>
      </c>
      <c r="I1340" t="str">
        <f t="shared" si="259"/>
        <v>갓 오브 블랙필드</v>
      </c>
      <c r="J1340">
        <v>100</v>
      </c>
      <c r="K1340">
        <v>500</v>
      </c>
      <c r="L1340">
        <v>5</v>
      </c>
      <c r="M1340">
        <v>0</v>
      </c>
      <c r="N1340">
        <v>0</v>
      </c>
      <c r="O1340">
        <v>0</v>
      </c>
      <c r="P1340">
        <v>40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500</v>
      </c>
      <c r="AH1340">
        <v>45</v>
      </c>
      <c r="AI1340">
        <v>0</v>
      </c>
      <c r="AJ1340">
        <v>0</v>
      </c>
      <c r="AK1340">
        <v>500</v>
      </c>
      <c r="AL1340">
        <v>0</v>
      </c>
      <c r="AM1340">
        <v>0</v>
      </c>
      <c r="AN1340">
        <v>0</v>
      </c>
      <c r="AO1340">
        <v>0</v>
      </c>
      <c r="AP1340">
        <v>350</v>
      </c>
      <c r="AT1340" t="str">
        <f t="shared" si="260"/>
        <v>9791137602113</v>
      </c>
      <c r="AV1340" t="str">
        <f t="shared" si="258"/>
        <v>판타지 웹소설 &gt; 현대 판타지</v>
      </c>
    </row>
    <row r="1341" spans="1:49" x14ac:dyDescent="0.4">
      <c r="A1341">
        <v>2313011955</v>
      </c>
      <c r="B1341">
        <v>2313012200</v>
      </c>
      <c r="C1341" t="str">
        <f>T("갓 오브 블랙필드 246화")</f>
        <v>갓 오브 블랙필드 246화</v>
      </c>
      <c r="D1341" t="str">
        <f>T("246")</f>
        <v>246</v>
      </c>
      <c r="E1341" t="str">
        <f t="shared" si="257"/>
        <v>무장</v>
      </c>
      <c r="H1341" t="str">
        <f t="shared" si="256"/>
        <v>스토리위즈</v>
      </c>
      <c r="I1341" t="str">
        <f t="shared" si="259"/>
        <v>갓 오브 블랙필드</v>
      </c>
      <c r="J1341">
        <v>100</v>
      </c>
      <c r="K1341">
        <v>500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500</v>
      </c>
      <c r="AH1341">
        <v>5</v>
      </c>
      <c r="AI1341">
        <v>0</v>
      </c>
      <c r="AJ1341">
        <v>0</v>
      </c>
      <c r="AK1341">
        <v>500</v>
      </c>
      <c r="AL1341">
        <v>0</v>
      </c>
      <c r="AM1341">
        <v>0</v>
      </c>
      <c r="AN1341">
        <v>0</v>
      </c>
      <c r="AO1341">
        <v>0</v>
      </c>
      <c r="AP1341">
        <v>350</v>
      </c>
      <c r="AT1341" t="str">
        <f t="shared" si="260"/>
        <v>9791137602113</v>
      </c>
      <c r="AV1341" t="str">
        <f t="shared" si="258"/>
        <v>판타지 웹소설 &gt; 현대 판타지</v>
      </c>
    </row>
    <row r="1342" spans="1:49" x14ac:dyDescent="0.4">
      <c r="A1342">
        <v>2313011955</v>
      </c>
      <c r="B1342">
        <v>2313012206</v>
      </c>
      <c r="C1342" t="str">
        <f>T("갓 오브 블랙필드 252화")</f>
        <v>갓 오브 블랙필드 252화</v>
      </c>
      <c r="D1342" t="str">
        <f>T("252")</f>
        <v>252</v>
      </c>
      <c r="E1342" t="str">
        <f t="shared" si="257"/>
        <v>무장</v>
      </c>
      <c r="H1342" t="str">
        <f t="shared" si="256"/>
        <v>스토리위즈</v>
      </c>
      <c r="I1342" t="str">
        <f t="shared" si="259"/>
        <v>갓 오브 블랙필드</v>
      </c>
      <c r="J1342">
        <v>100</v>
      </c>
      <c r="K1342">
        <v>500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500</v>
      </c>
      <c r="AH1342">
        <v>5</v>
      </c>
      <c r="AI1342">
        <v>0</v>
      </c>
      <c r="AJ1342">
        <v>0</v>
      </c>
      <c r="AK1342">
        <v>500</v>
      </c>
      <c r="AL1342">
        <v>0</v>
      </c>
      <c r="AM1342">
        <v>0</v>
      </c>
      <c r="AN1342">
        <v>0</v>
      </c>
      <c r="AO1342">
        <v>0</v>
      </c>
      <c r="AP1342">
        <v>350</v>
      </c>
      <c r="AT1342" t="str">
        <f t="shared" si="260"/>
        <v>9791137602113</v>
      </c>
      <c r="AV1342" t="str">
        <f t="shared" si="258"/>
        <v>판타지 웹소설 &gt; 현대 판타지</v>
      </c>
    </row>
    <row r="1343" spans="1:49" x14ac:dyDescent="0.4">
      <c r="A1343">
        <v>2313011955</v>
      </c>
      <c r="B1343">
        <v>2313012207</v>
      </c>
      <c r="C1343" t="str">
        <f>T("갓 오브 블랙필드 253화")</f>
        <v>갓 오브 블랙필드 253화</v>
      </c>
      <c r="D1343" t="str">
        <f>T("253")</f>
        <v>253</v>
      </c>
      <c r="E1343" t="str">
        <f t="shared" si="257"/>
        <v>무장</v>
      </c>
      <c r="H1343" t="str">
        <f t="shared" si="256"/>
        <v>스토리위즈</v>
      </c>
      <c r="I1343" t="str">
        <f t="shared" si="259"/>
        <v>갓 오브 블랙필드</v>
      </c>
      <c r="J1343">
        <v>100</v>
      </c>
      <c r="K1343">
        <v>500</v>
      </c>
      <c r="L1343">
        <v>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500</v>
      </c>
      <c r="AH1343">
        <v>5</v>
      </c>
      <c r="AI1343">
        <v>0</v>
      </c>
      <c r="AJ1343">
        <v>0</v>
      </c>
      <c r="AK1343">
        <v>500</v>
      </c>
      <c r="AL1343">
        <v>0</v>
      </c>
      <c r="AM1343">
        <v>0</v>
      </c>
      <c r="AN1343">
        <v>0</v>
      </c>
      <c r="AO1343">
        <v>0</v>
      </c>
      <c r="AP1343">
        <v>350</v>
      </c>
      <c r="AT1343" t="str">
        <f t="shared" si="260"/>
        <v>9791137602113</v>
      </c>
      <c r="AV1343" t="str">
        <f t="shared" si="258"/>
        <v>판타지 웹소설 &gt; 현대 판타지</v>
      </c>
    </row>
    <row r="1344" spans="1:49" x14ac:dyDescent="0.4">
      <c r="A1344">
        <v>2313011955</v>
      </c>
      <c r="B1344">
        <v>2313012208</v>
      </c>
      <c r="C1344" t="str">
        <f>T("갓 오브 블랙필드 254화")</f>
        <v>갓 오브 블랙필드 254화</v>
      </c>
      <c r="D1344" t="str">
        <f>T("254")</f>
        <v>254</v>
      </c>
      <c r="E1344" t="str">
        <f t="shared" si="257"/>
        <v>무장</v>
      </c>
      <c r="H1344" t="str">
        <f t="shared" si="256"/>
        <v>스토리위즈</v>
      </c>
      <c r="I1344" t="str">
        <f t="shared" si="259"/>
        <v>갓 오브 블랙필드</v>
      </c>
      <c r="J1344">
        <v>100</v>
      </c>
      <c r="K1344">
        <v>500</v>
      </c>
      <c r="L1344">
        <v>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500</v>
      </c>
      <c r="AH1344">
        <v>5</v>
      </c>
      <c r="AI1344">
        <v>0</v>
      </c>
      <c r="AJ1344">
        <v>0</v>
      </c>
      <c r="AK1344">
        <v>500</v>
      </c>
      <c r="AL1344">
        <v>0</v>
      </c>
      <c r="AM1344">
        <v>0</v>
      </c>
      <c r="AN1344">
        <v>0</v>
      </c>
      <c r="AO1344">
        <v>0</v>
      </c>
      <c r="AP1344">
        <v>350</v>
      </c>
      <c r="AT1344" t="str">
        <f t="shared" si="260"/>
        <v>9791137602113</v>
      </c>
      <c r="AV1344" t="str">
        <f t="shared" si="258"/>
        <v>판타지 웹소설 &gt; 현대 판타지</v>
      </c>
    </row>
    <row r="1345" spans="1:48" x14ac:dyDescent="0.4">
      <c r="A1345">
        <v>2313011955</v>
      </c>
      <c r="B1345">
        <v>2313012209</v>
      </c>
      <c r="C1345" t="str">
        <f>T("갓 오브 블랙필드 255화")</f>
        <v>갓 오브 블랙필드 255화</v>
      </c>
      <c r="D1345" t="str">
        <f>T("255")</f>
        <v>255</v>
      </c>
      <c r="E1345" t="str">
        <f t="shared" si="257"/>
        <v>무장</v>
      </c>
      <c r="H1345" t="str">
        <f t="shared" si="256"/>
        <v>스토리위즈</v>
      </c>
      <c r="I1345" t="str">
        <f t="shared" si="259"/>
        <v>갓 오브 블랙필드</v>
      </c>
      <c r="J1345">
        <v>100</v>
      </c>
      <c r="K1345">
        <v>500</v>
      </c>
      <c r="L1345">
        <v>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500</v>
      </c>
      <c r="AH1345">
        <v>5</v>
      </c>
      <c r="AI1345">
        <v>0</v>
      </c>
      <c r="AJ1345">
        <v>0</v>
      </c>
      <c r="AK1345">
        <v>500</v>
      </c>
      <c r="AL1345">
        <v>0</v>
      </c>
      <c r="AM1345">
        <v>0</v>
      </c>
      <c r="AN1345">
        <v>0</v>
      </c>
      <c r="AO1345">
        <v>0</v>
      </c>
      <c r="AP1345">
        <v>350</v>
      </c>
      <c r="AT1345" t="str">
        <f t="shared" si="260"/>
        <v>9791137602113</v>
      </c>
      <c r="AV1345" t="str">
        <f t="shared" si="258"/>
        <v>판타지 웹소설 &gt; 현대 판타지</v>
      </c>
    </row>
    <row r="1346" spans="1:48" x14ac:dyDescent="0.4">
      <c r="A1346">
        <v>2313011955</v>
      </c>
      <c r="B1346">
        <v>2313012210</v>
      </c>
      <c r="C1346" t="str">
        <f>T("갓 오브 블랙필드 256화")</f>
        <v>갓 오브 블랙필드 256화</v>
      </c>
      <c r="D1346" t="str">
        <f>T("256")</f>
        <v>256</v>
      </c>
      <c r="E1346" t="str">
        <f t="shared" si="257"/>
        <v>무장</v>
      </c>
      <c r="H1346" t="str">
        <f t="shared" si="256"/>
        <v>스토리위즈</v>
      </c>
      <c r="I1346" t="str">
        <f t="shared" si="259"/>
        <v>갓 오브 블랙필드</v>
      </c>
      <c r="J1346">
        <v>100</v>
      </c>
      <c r="K1346">
        <v>500</v>
      </c>
      <c r="L1346">
        <v>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500</v>
      </c>
      <c r="AH1346">
        <v>5</v>
      </c>
      <c r="AI1346">
        <v>0</v>
      </c>
      <c r="AJ1346">
        <v>0</v>
      </c>
      <c r="AK1346">
        <v>500</v>
      </c>
      <c r="AL1346">
        <v>0</v>
      </c>
      <c r="AM1346">
        <v>0</v>
      </c>
      <c r="AN1346">
        <v>0</v>
      </c>
      <c r="AO1346">
        <v>0</v>
      </c>
      <c r="AP1346">
        <v>350</v>
      </c>
      <c r="AT1346" t="str">
        <f t="shared" si="260"/>
        <v>9791137602113</v>
      </c>
      <c r="AV1346" t="str">
        <f t="shared" si="258"/>
        <v>판타지 웹소설 &gt; 현대 판타지</v>
      </c>
    </row>
    <row r="1347" spans="1:48" x14ac:dyDescent="0.4">
      <c r="A1347">
        <v>2313011955</v>
      </c>
      <c r="B1347">
        <v>2313012221</v>
      </c>
      <c r="C1347" t="str">
        <f>T("갓 오브 블랙필드 267화")</f>
        <v>갓 오브 블랙필드 267화</v>
      </c>
      <c r="D1347" t="str">
        <f>T("267")</f>
        <v>267</v>
      </c>
      <c r="E1347" t="str">
        <f t="shared" si="257"/>
        <v>무장</v>
      </c>
      <c r="H1347" t="str">
        <f t="shared" si="256"/>
        <v>스토리위즈</v>
      </c>
      <c r="I1347" t="str">
        <f t="shared" si="259"/>
        <v>갓 오브 블랙필드</v>
      </c>
      <c r="J1347">
        <v>100</v>
      </c>
      <c r="K1347">
        <v>500</v>
      </c>
      <c r="L1347">
        <v>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500</v>
      </c>
      <c r="AH1347">
        <v>5</v>
      </c>
      <c r="AI1347">
        <v>0</v>
      </c>
      <c r="AJ1347">
        <v>0</v>
      </c>
      <c r="AK1347">
        <v>500</v>
      </c>
      <c r="AL1347">
        <v>0</v>
      </c>
      <c r="AM1347">
        <v>0</v>
      </c>
      <c r="AN1347">
        <v>0</v>
      </c>
      <c r="AO1347">
        <v>0</v>
      </c>
      <c r="AP1347">
        <v>350</v>
      </c>
      <c r="AT1347" t="str">
        <f t="shared" si="260"/>
        <v>9791137602113</v>
      </c>
      <c r="AV1347" t="str">
        <f t="shared" si="258"/>
        <v>판타지 웹소설 &gt; 현대 판타지</v>
      </c>
    </row>
    <row r="1348" spans="1:48" x14ac:dyDescent="0.4">
      <c r="A1348">
        <v>2313011955</v>
      </c>
      <c r="B1348">
        <v>2313012222</v>
      </c>
      <c r="C1348" t="str">
        <f>T("갓 오브 블랙필드 268화")</f>
        <v>갓 오브 블랙필드 268화</v>
      </c>
      <c r="D1348" t="str">
        <f>T("268")</f>
        <v>268</v>
      </c>
      <c r="E1348" t="str">
        <f t="shared" si="257"/>
        <v>무장</v>
      </c>
      <c r="H1348" t="str">
        <f t="shared" si="256"/>
        <v>스토리위즈</v>
      </c>
      <c r="I1348" t="str">
        <f t="shared" si="259"/>
        <v>갓 오브 블랙필드</v>
      </c>
      <c r="J1348">
        <v>100</v>
      </c>
      <c r="K1348">
        <v>500</v>
      </c>
      <c r="L1348">
        <v>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500</v>
      </c>
      <c r="AH1348">
        <v>5</v>
      </c>
      <c r="AI1348">
        <v>0</v>
      </c>
      <c r="AJ1348">
        <v>0</v>
      </c>
      <c r="AK1348">
        <v>500</v>
      </c>
      <c r="AL1348">
        <v>0</v>
      </c>
      <c r="AM1348">
        <v>0</v>
      </c>
      <c r="AN1348">
        <v>0</v>
      </c>
      <c r="AO1348">
        <v>0</v>
      </c>
      <c r="AP1348">
        <v>350</v>
      </c>
      <c r="AT1348" t="str">
        <f t="shared" si="260"/>
        <v>9791137602113</v>
      </c>
      <c r="AV1348" t="str">
        <f t="shared" si="258"/>
        <v>판타지 웹소설 &gt; 현대 판타지</v>
      </c>
    </row>
    <row r="1349" spans="1:48" x14ac:dyDescent="0.4">
      <c r="A1349">
        <v>2313011955</v>
      </c>
      <c r="B1349">
        <v>2313012223</v>
      </c>
      <c r="C1349" t="str">
        <f>T("갓 오브 블랙필드 269화")</f>
        <v>갓 오브 블랙필드 269화</v>
      </c>
      <c r="D1349" t="str">
        <f>T("269")</f>
        <v>269</v>
      </c>
      <c r="E1349" t="str">
        <f t="shared" si="257"/>
        <v>무장</v>
      </c>
      <c r="H1349" t="str">
        <f t="shared" si="256"/>
        <v>스토리위즈</v>
      </c>
      <c r="I1349" t="str">
        <f t="shared" si="259"/>
        <v>갓 오브 블랙필드</v>
      </c>
      <c r="J1349">
        <v>100</v>
      </c>
      <c r="K1349">
        <v>500</v>
      </c>
      <c r="L1349">
        <v>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500</v>
      </c>
      <c r="AH1349">
        <v>5</v>
      </c>
      <c r="AI1349">
        <v>0</v>
      </c>
      <c r="AJ1349">
        <v>0</v>
      </c>
      <c r="AK1349">
        <v>500</v>
      </c>
      <c r="AL1349">
        <v>0</v>
      </c>
      <c r="AM1349">
        <v>0</v>
      </c>
      <c r="AN1349">
        <v>0</v>
      </c>
      <c r="AO1349">
        <v>0</v>
      </c>
      <c r="AP1349">
        <v>350</v>
      </c>
      <c r="AT1349" t="str">
        <f t="shared" si="260"/>
        <v>9791137602113</v>
      </c>
      <c r="AV1349" t="str">
        <f t="shared" si="258"/>
        <v>판타지 웹소설 &gt; 현대 판타지</v>
      </c>
    </row>
    <row r="1350" spans="1:48" x14ac:dyDescent="0.4">
      <c r="A1350">
        <v>2313011955</v>
      </c>
      <c r="B1350">
        <v>2313012224</v>
      </c>
      <c r="C1350" t="str">
        <f>T("갓 오브 블랙필드 270화")</f>
        <v>갓 오브 블랙필드 270화</v>
      </c>
      <c r="D1350" t="str">
        <f>T("270")</f>
        <v>270</v>
      </c>
      <c r="E1350" t="str">
        <f t="shared" si="257"/>
        <v>무장</v>
      </c>
      <c r="H1350" t="str">
        <f t="shared" si="256"/>
        <v>스토리위즈</v>
      </c>
      <c r="I1350" t="str">
        <f t="shared" si="259"/>
        <v>갓 오브 블랙필드</v>
      </c>
      <c r="J1350">
        <v>100</v>
      </c>
      <c r="K1350">
        <v>500</v>
      </c>
      <c r="L1350">
        <v>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500</v>
      </c>
      <c r="AH1350">
        <v>5</v>
      </c>
      <c r="AI1350">
        <v>0</v>
      </c>
      <c r="AJ1350">
        <v>0</v>
      </c>
      <c r="AK1350">
        <v>500</v>
      </c>
      <c r="AL1350">
        <v>0</v>
      </c>
      <c r="AM1350">
        <v>0</v>
      </c>
      <c r="AN1350">
        <v>0</v>
      </c>
      <c r="AO1350">
        <v>0</v>
      </c>
      <c r="AP1350">
        <v>350</v>
      </c>
      <c r="AT1350" t="str">
        <f t="shared" si="260"/>
        <v>9791137602113</v>
      </c>
      <c r="AV1350" t="str">
        <f t="shared" si="258"/>
        <v>판타지 웹소설 &gt; 현대 판타지</v>
      </c>
    </row>
    <row r="1351" spans="1:48" x14ac:dyDescent="0.4">
      <c r="A1351">
        <v>2313011955</v>
      </c>
      <c r="B1351">
        <v>2313012225</v>
      </c>
      <c r="C1351" t="str">
        <f>T("갓 오브 블랙필드 271화")</f>
        <v>갓 오브 블랙필드 271화</v>
      </c>
      <c r="D1351" t="str">
        <f>T("271")</f>
        <v>271</v>
      </c>
      <c r="E1351" t="str">
        <f t="shared" si="257"/>
        <v>무장</v>
      </c>
      <c r="H1351" t="str">
        <f t="shared" si="256"/>
        <v>스토리위즈</v>
      </c>
      <c r="I1351" t="str">
        <f t="shared" si="259"/>
        <v>갓 오브 블랙필드</v>
      </c>
      <c r="J1351">
        <v>100</v>
      </c>
      <c r="K1351">
        <v>500</v>
      </c>
      <c r="L1351">
        <v>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500</v>
      </c>
      <c r="AH1351">
        <v>5</v>
      </c>
      <c r="AI1351">
        <v>0</v>
      </c>
      <c r="AJ1351">
        <v>0</v>
      </c>
      <c r="AK1351">
        <v>500</v>
      </c>
      <c r="AL1351">
        <v>0</v>
      </c>
      <c r="AM1351">
        <v>0</v>
      </c>
      <c r="AN1351">
        <v>0</v>
      </c>
      <c r="AO1351">
        <v>0</v>
      </c>
      <c r="AP1351">
        <v>350</v>
      </c>
      <c r="AT1351" t="str">
        <f t="shared" si="260"/>
        <v>9791137602113</v>
      </c>
      <c r="AV1351" t="str">
        <f t="shared" si="258"/>
        <v>판타지 웹소설 &gt; 현대 판타지</v>
      </c>
    </row>
    <row r="1352" spans="1:48" x14ac:dyDescent="0.4">
      <c r="A1352">
        <v>2313011955</v>
      </c>
      <c r="B1352">
        <v>2313012226</v>
      </c>
      <c r="C1352" t="str">
        <f>T("갓 오브 블랙필드 272화")</f>
        <v>갓 오브 블랙필드 272화</v>
      </c>
      <c r="D1352" t="str">
        <f>T("272")</f>
        <v>272</v>
      </c>
      <c r="E1352" t="str">
        <f t="shared" si="257"/>
        <v>무장</v>
      </c>
      <c r="H1352" t="str">
        <f t="shared" si="256"/>
        <v>스토리위즈</v>
      </c>
      <c r="I1352" t="str">
        <f t="shared" si="259"/>
        <v>갓 오브 블랙필드</v>
      </c>
      <c r="J1352">
        <v>100</v>
      </c>
      <c r="K1352">
        <v>500</v>
      </c>
      <c r="L1352">
        <v>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500</v>
      </c>
      <c r="AH1352">
        <v>5</v>
      </c>
      <c r="AI1352">
        <v>0</v>
      </c>
      <c r="AJ1352">
        <v>0</v>
      </c>
      <c r="AK1352">
        <v>500</v>
      </c>
      <c r="AL1352">
        <v>0</v>
      </c>
      <c r="AM1352">
        <v>0</v>
      </c>
      <c r="AN1352">
        <v>0</v>
      </c>
      <c r="AO1352">
        <v>0</v>
      </c>
      <c r="AP1352">
        <v>350</v>
      </c>
      <c r="AT1352" t="str">
        <f t="shared" si="260"/>
        <v>9791137602113</v>
      </c>
      <c r="AV1352" t="str">
        <f t="shared" si="258"/>
        <v>판타지 웹소설 &gt; 현대 판타지</v>
      </c>
    </row>
    <row r="1353" spans="1:48" x14ac:dyDescent="0.4">
      <c r="A1353">
        <v>2313011955</v>
      </c>
      <c r="B1353">
        <v>2313012227</v>
      </c>
      <c r="C1353" t="str">
        <f>T("갓 오브 블랙필드 273화")</f>
        <v>갓 오브 블랙필드 273화</v>
      </c>
      <c r="D1353" t="str">
        <f>T("273")</f>
        <v>273</v>
      </c>
      <c r="E1353" t="str">
        <f t="shared" si="257"/>
        <v>무장</v>
      </c>
      <c r="H1353" t="str">
        <f t="shared" si="256"/>
        <v>스토리위즈</v>
      </c>
      <c r="I1353" t="str">
        <f t="shared" si="259"/>
        <v>갓 오브 블랙필드</v>
      </c>
      <c r="J1353">
        <v>100</v>
      </c>
      <c r="K1353">
        <v>500</v>
      </c>
      <c r="L1353">
        <v>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500</v>
      </c>
      <c r="AH1353">
        <v>5</v>
      </c>
      <c r="AI1353">
        <v>0</v>
      </c>
      <c r="AJ1353">
        <v>0</v>
      </c>
      <c r="AK1353">
        <v>500</v>
      </c>
      <c r="AL1353">
        <v>0</v>
      </c>
      <c r="AM1353">
        <v>0</v>
      </c>
      <c r="AN1353">
        <v>0</v>
      </c>
      <c r="AO1353">
        <v>0</v>
      </c>
      <c r="AP1353">
        <v>350</v>
      </c>
      <c r="AT1353" t="str">
        <f t="shared" si="260"/>
        <v>9791137602113</v>
      </c>
      <c r="AV1353" t="str">
        <f t="shared" si="258"/>
        <v>판타지 웹소설 &gt; 현대 판타지</v>
      </c>
    </row>
    <row r="1354" spans="1:48" x14ac:dyDescent="0.4">
      <c r="A1354">
        <v>2313011955</v>
      </c>
      <c r="B1354">
        <v>2313012228</v>
      </c>
      <c r="C1354" t="str">
        <f>T("갓 오브 블랙필드 274화")</f>
        <v>갓 오브 블랙필드 274화</v>
      </c>
      <c r="D1354" t="str">
        <f>T("274")</f>
        <v>274</v>
      </c>
      <c r="E1354" t="str">
        <f t="shared" si="257"/>
        <v>무장</v>
      </c>
      <c r="H1354" t="str">
        <f t="shared" si="256"/>
        <v>스토리위즈</v>
      </c>
      <c r="I1354" t="str">
        <f t="shared" si="259"/>
        <v>갓 오브 블랙필드</v>
      </c>
      <c r="J1354">
        <v>100</v>
      </c>
      <c r="K1354">
        <v>500</v>
      </c>
      <c r="L1354">
        <v>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500</v>
      </c>
      <c r="AH1354">
        <v>5</v>
      </c>
      <c r="AI1354">
        <v>0</v>
      </c>
      <c r="AJ1354">
        <v>0</v>
      </c>
      <c r="AK1354">
        <v>500</v>
      </c>
      <c r="AL1354">
        <v>0</v>
      </c>
      <c r="AM1354">
        <v>0</v>
      </c>
      <c r="AN1354">
        <v>0</v>
      </c>
      <c r="AO1354">
        <v>0</v>
      </c>
      <c r="AP1354">
        <v>350</v>
      </c>
      <c r="AT1354" t="str">
        <f t="shared" si="260"/>
        <v>9791137602113</v>
      </c>
      <c r="AV1354" t="str">
        <f t="shared" si="258"/>
        <v>판타지 웹소설 &gt; 현대 판타지</v>
      </c>
    </row>
    <row r="1355" spans="1:48" x14ac:dyDescent="0.4">
      <c r="A1355">
        <v>2313011955</v>
      </c>
      <c r="B1355">
        <v>2313012229</v>
      </c>
      <c r="C1355" t="str">
        <f>T("갓 오브 블랙필드 275화")</f>
        <v>갓 오브 블랙필드 275화</v>
      </c>
      <c r="D1355" t="str">
        <f>T("275")</f>
        <v>275</v>
      </c>
      <c r="E1355" t="str">
        <f t="shared" si="257"/>
        <v>무장</v>
      </c>
      <c r="H1355" t="str">
        <f t="shared" si="256"/>
        <v>스토리위즈</v>
      </c>
      <c r="I1355" t="str">
        <f t="shared" si="259"/>
        <v>갓 오브 블랙필드</v>
      </c>
      <c r="J1355">
        <v>100</v>
      </c>
      <c r="K1355">
        <v>500</v>
      </c>
      <c r="L1355">
        <v>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500</v>
      </c>
      <c r="AH1355">
        <v>5</v>
      </c>
      <c r="AI1355">
        <v>0</v>
      </c>
      <c r="AJ1355">
        <v>0</v>
      </c>
      <c r="AK1355">
        <v>500</v>
      </c>
      <c r="AL1355">
        <v>0</v>
      </c>
      <c r="AM1355">
        <v>0</v>
      </c>
      <c r="AN1355">
        <v>0</v>
      </c>
      <c r="AO1355">
        <v>0</v>
      </c>
      <c r="AP1355">
        <v>350</v>
      </c>
      <c r="AT1355" t="str">
        <f t="shared" si="260"/>
        <v>9791137602113</v>
      </c>
      <c r="AV1355" t="str">
        <f t="shared" si="258"/>
        <v>판타지 웹소설 &gt; 현대 판타지</v>
      </c>
    </row>
    <row r="1356" spans="1:48" x14ac:dyDescent="0.4">
      <c r="A1356">
        <v>2313011955</v>
      </c>
      <c r="B1356">
        <v>2313012230</v>
      </c>
      <c r="C1356" t="str">
        <f>T("갓 오브 블랙필드 276화")</f>
        <v>갓 오브 블랙필드 276화</v>
      </c>
      <c r="D1356" t="str">
        <f>T("276")</f>
        <v>276</v>
      </c>
      <c r="E1356" t="str">
        <f t="shared" si="257"/>
        <v>무장</v>
      </c>
      <c r="H1356" t="str">
        <f t="shared" si="256"/>
        <v>스토리위즈</v>
      </c>
      <c r="I1356" t="str">
        <f t="shared" si="259"/>
        <v>갓 오브 블랙필드</v>
      </c>
      <c r="J1356">
        <v>100</v>
      </c>
      <c r="K1356">
        <v>500</v>
      </c>
      <c r="L1356">
        <v>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500</v>
      </c>
      <c r="AH1356">
        <v>5</v>
      </c>
      <c r="AI1356">
        <v>0</v>
      </c>
      <c r="AJ1356">
        <v>0</v>
      </c>
      <c r="AK1356">
        <v>500</v>
      </c>
      <c r="AL1356">
        <v>0</v>
      </c>
      <c r="AM1356">
        <v>0</v>
      </c>
      <c r="AN1356">
        <v>0</v>
      </c>
      <c r="AO1356">
        <v>0</v>
      </c>
      <c r="AP1356">
        <v>350</v>
      </c>
      <c r="AT1356" t="str">
        <f t="shared" si="260"/>
        <v>9791137602113</v>
      </c>
      <c r="AV1356" t="str">
        <f t="shared" si="258"/>
        <v>판타지 웹소설 &gt; 현대 판타지</v>
      </c>
    </row>
    <row r="1357" spans="1:48" x14ac:dyDescent="0.4">
      <c r="A1357">
        <v>2313011955</v>
      </c>
      <c r="B1357">
        <v>2313012231</v>
      </c>
      <c r="C1357" t="str">
        <f>T("갓 오브 블랙필드 277화")</f>
        <v>갓 오브 블랙필드 277화</v>
      </c>
      <c r="D1357" t="str">
        <f>T("277")</f>
        <v>277</v>
      </c>
      <c r="E1357" t="str">
        <f t="shared" si="257"/>
        <v>무장</v>
      </c>
      <c r="H1357" t="str">
        <f t="shared" si="256"/>
        <v>스토리위즈</v>
      </c>
      <c r="I1357" t="str">
        <f t="shared" si="259"/>
        <v>갓 오브 블랙필드</v>
      </c>
      <c r="J1357">
        <v>100</v>
      </c>
      <c r="K1357">
        <v>500</v>
      </c>
      <c r="L1357">
        <v>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500</v>
      </c>
      <c r="AH1357">
        <v>5</v>
      </c>
      <c r="AI1357">
        <v>0</v>
      </c>
      <c r="AJ1357">
        <v>0</v>
      </c>
      <c r="AK1357">
        <v>500</v>
      </c>
      <c r="AL1357">
        <v>0</v>
      </c>
      <c r="AM1357">
        <v>0</v>
      </c>
      <c r="AN1357">
        <v>0</v>
      </c>
      <c r="AO1357">
        <v>0</v>
      </c>
      <c r="AP1357">
        <v>350</v>
      </c>
      <c r="AT1357" t="str">
        <f t="shared" si="260"/>
        <v>9791137602113</v>
      </c>
      <c r="AV1357" t="str">
        <f t="shared" si="258"/>
        <v>판타지 웹소설 &gt; 현대 판타지</v>
      </c>
    </row>
    <row r="1358" spans="1:48" x14ac:dyDescent="0.4">
      <c r="A1358">
        <v>2313011955</v>
      </c>
      <c r="B1358">
        <v>2313012292</v>
      </c>
      <c r="C1358" t="str">
        <f>T("갓 오브 블랙필드 338화")</f>
        <v>갓 오브 블랙필드 338화</v>
      </c>
      <c r="D1358" t="str">
        <f>T("338")</f>
        <v>338</v>
      </c>
      <c r="E1358" t="str">
        <f t="shared" si="257"/>
        <v>무장</v>
      </c>
      <c r="H1358" t="str">
        <f t="shared" si="256"/>
        <v>스토리위즈</v>
      </c>
      <c r="I1358" t="str">
        <f t="shared" si="259"/>
        <v>갓 오브 블랙필드</v>
      </c>
      <c r="J1358">
        <v>100</v>
      </c>
      <c r="K1358">
        <v>500</v>
      </c>
      <c r="L1358">
        <v>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500</v>
      </c>
      <c r="AH1358">
        <v>5</v>
      </c>
      <c r="AI1358">
        <v>0</v>
      </c>
      <c r="AJ1358">
        <v>0</v>
      </c>
      <c r="AK1358">
        <v>500</v>
      </c>
      <c r="AL1358">
        <v>0</v>
      </c>
      <c r="AM1358">
        <v>0</v>
      </c>
      <c r="AN1358">
        <v>0</v>
      </c>
      <c r="AO1358">
        <v>0</v>
      </c>
      <c r="AP1358">
        <v>350</v>
      </c>
      <c r="AT1358" t="str">
        <f t="shared" si="260"/>
        <v>9791137602113</v>
      </c>
      <c r="AV1358" t="str">
        <f t="shared" si="258"/>
        <v>판타지 웹소설 &gt; 현대 판타지</v>
      </c>
    </row>
    <row r="1359" spans="1:48" x14ac:dyDescent="0.4">
      <c r="A1359">
        <v>2313011955</v>
      </c>
      <c r="B1359">
        <v>2313012293</v>
      </c>
      <c r="C1359" t="str">
        <f>T("갓 오브 블랙필드 339화")</f>
        <v>갓 오브 블랙필드 339화</v>
      </c>
      <c r="D1359" t="str">
        <f>T("339")</f>
        <v>339</v>
      </c>
      <c r="E1359" t="str">
        <f t="shared" si="257"/>
        <v>무장</v>
      </c>
      <c r="H1359" t="str">
        <f t="shared" si="256"/>
        <v>스토리위즈</v>
      </c>
      <c r="I1359" t="str">
        <f t="shared" si="259"/>
        <v>갓 오브 블랙필드</v>
      </c>
      <c r="J1359">
        <v>100</v>
      </c>
      <c r="K1359">
        <v>500</v>
      </c>
      <c r="L1359">
        <v>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500</v>
      </c>
      <c r="AH1359">
        <v>5</v>
      </c>
      <c r="AI1359">
        <v>0</v>
      </c>
      <c r="AJ1359">
        <v>0</v>
      </c>
      <c r="AK1359">
        <v>500</v>
      </c>
      <c r="AL1359">
        <v>0</v>
      </c>
      <c r="AM1359">
        <v>0</v>
      </c>
      <c r="AN1359">
        <v>0</v>
      </c>
      <c r="AO1359">
        <v>0</v>
      </c>
      <c r="AP1359">
        <v>350</v>
      </c>
      <c r="AT1359" t="str">
        <f t="shared" si="260"/>
        <v>9791137602113</v>
      </c>
      <c r="AV1359" t="str">
        <f t="shared" si="258"/>
        <v>판타지 웹소설 &gt; 현대 판타지</v>
      </c>
    </row>
    <row r="1360" spans="1:48" x14ac:dyDescent="0.4">
      <c r="A1360">
        <v>2313011955</v>
      </c>
      <c r="B1360">
        <v>2313012294</v>
      </c>
      <c r="C1360" t="str">
        <f>T("갓 오브 블랙필드 340화")</f>
        <v>갓 오브 블랙필드 340화</v>
      </c>
      <c r="D1360" t="str">
        <f>T("340")</f>
        <v>340</v>
      </c>
      <c r="E1360" t="str">
        <f t="shared" si="257"/>
        <v>무장</v>
      </c>
      <c r="H1360" t="str">
        <f t="shared" si="256"/>
        <v>스토리위즈</v>
      </c>
      <c r="I1360" t="str">
        <f t="shared" si="259"/>
        <v>갓 오브 블랙필드</v>
      </c>
      <c r="J1360">
        <v>100</v>
      </c>
      <c r="K1360">
        <v>500</v>
      </c>
      <c r="L1360">
        <v>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500</v>
      </c>
      <c r="AH1360">
        <v>5</v>
      </c>
      <c r="AI1360">
        <v>0</v>
      </c>
      <c r="AJ1360">
        <v>0</v>
      </c>
      <c r="AK1360">
        <v>500</v>
      </c>
      <c r="AL1360">
        <v>0</v>
      </c>
      <c r="AM1360">
        <v>0</v>
      </c>
      <c r="AN1360">
        <v>0</v>
      </c>
      <c r="AO1360">
        <v>0</v>
      </c>
      <c r="AP1360">
        <v>350</v>
      </c>
      <c r="AT1360" t="str">
        <f t="shared" si="260"/>
        <v>9791137602113</v>
      </c>
      <c r="AV1360" t="str">
        <f t="shared" si="258"/>
        <v>판타지 웹소설 &gt; 현대 판타지</v>
      </c>
    </row>
    <row r="1361" spans="1:48" x14ac:dyDescent="0.4">
      <c r="A1361">
        <v>2313011955</v>
      </c>
      <c r="B1361">
        <v>2313012295</v>
      </c>
      <c r="C1361" t="str">
        <f>T("갓 오브 블랙필드 341화")</f>
        <v>갓 오브 블랙필드 341화</v>
      </c>
      <c r="D1361" t="str">
        <f>T("341")</f>
        <v>341</v>
      </c>
      <c r="E1361" t="str">
        <f t="shared" si="257"/>
        <v>무장</v>
      </c>
      <c r="H1361" t="str">
        <f t="shared" si="256"/>
        <v>스토리위즈</v>
      </c>
      <c r="I1361" t="str">
        <f t="shared" si="259"/>
        <v>갓 오브 블랙필드</v>
      </c>
      <c r="J1361">
        <v>100</v>
      </c>
      <c r="K1361">
        <v>500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500</v>
      </c>
      <c r="AH1361">
        <v>5</v>
      </c>
      <c r="AI1361">
        <v>0</v>
      </c>
      <c r="AJ1361">
        <v>0</v>
      </c>
      <c r="AK1361">
        <v>500</v>
      </c>
      <c r="AL1361">
        <v>0</v>
      </c>
      <c r="AM1361">
        <v>0</v>
      </c>
      <c r="AN1361">
        <v>0</v>
      </c>
      <c r="AO1361">
        <v>0</v>
      </c>
      <c r="AP1361">
        <v>350</v>
      </c>
      <c r="AT1361" t="str">
        <f t="shared" si="260"/>
        <v>9791137602113</v>
      </c>
      <c r="AV1361" t="str">
        <f t="shared" si="258"/>
        <v>판타지 웹소설 &gt; 현대 판타지</v>
      </c>
    </row>
    <row r="1362" spans="1:48" x14ac:dyDescent="0.4">
      <c r="A1362">
        <v>2313011955</v>
      </c>
      <c r="B1362">
        <v>2313012296</v>
      </c>
      <c r="C1362" t="str">
        <f>T("갓 오브 블랙필드 342화")</f>
        <v>갓 오브 블랙필드 342화</v>
      </c>
      <c r="D1362" t="str">
        <f>T("342")</f>
        <v>342</v>
      </c>
      <c r="E1362" t="str">
        <f t="shared" si="257"/>
        <v>무장</v>
      </c>
      <c r="H1362" t="str">
        <f t="shared" si="256"/>
        <v>스토리위즈</v>
      </c>
      <c r="I1362" t="str">
        <f t="shared" si="259"/>
        <v>갓 오브 블랙필드</v>
      </c>
      <c r="J1362">
        <v>100</v>
      </c>
      <c r="K1362">
        <v>500</v>
      </c>
      <c r="L1362">
        <v>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500</v>
      </c>
      <c r="AH1362">
        <v>5</v>
      </c>
      <c r="AI1362">
        <v>0</v>
      </c>
      <c r="AJ1362">
        <v>0</v>
      </c>
      <c r="AK1362">
        <v>500</v>
      </c>
      <c r="AL1362">
        <v>0</v>
      </c>
      <c r="AM1362">
        <v>0</v>
      </c>
      <c r="AN1362">
        <v>0</v>
      </c>
      <c r="AO1362">
        <v>0</v>
      </c>
      <c r="AP1362">
        <v>350</v>
      </c>
      <c r="AT1362" t="str">
        <f t="shared" si="260"/>
        <v>9791137602113</v>
      </c>
      <c r="AV1362" t="str">
        <f t="shared" si="258"/>
        <v>판타지 웹소설 &gt; 현대 판타지</v>
      </c>
    </row>
    <row r="1363" spans="1:48" x14ac:dyDescent="0.4">
      <c r="A1363">
        <v>2313011955</v>
      </c>
      <c r="B1363">
        <v>2313012297</v>
      </c>
      <c r="C1363" t="str">
        <f>T("갓 오브 블랙필드 343화")</f>
        <v>갓 오브 블랙필드 343화</v>
      </c>
      <c r="D1363" t="str">
        <f>T("343")</f>
        <v>343</v>
      </c>
      <c r="E1363" t="str">
        <f t="shared" si="257"/>
        <v>무장</v>
      </c>
      <c r="H1363" t="str">
        <f t="shared" si="256"/>
        <v>스토리위즈</v>
      </c>
      <c r="I1363" t="str">
        <f t="shared" si="259"/>
        <v>갓 오브 블랙필드</v>
      </c>
      <c r="J1363">
        <v>100</v>
      </c>
      <c r="K1363">
        <v>500</v>
      </c>
      <c r="L1363">
        <v>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500</v>
      </c>
      <c r="AH1363">
        <v>5</v>
      </c>
      <c r="AI1363">
        <v>0</v>
      </c>
      <c r="AJ1363">
        <v>0</v>
      </c>
      <c r="AK1363">
        <v>500</v>
      </c>
      <c r="AL1363">
        <v>0</v>
      </c>
      <c r="AM1363">
        <v>0</v>
      </c>
      <c r="AN1363">
        <v>0</v>
      </c>
      <c r="AO1363">
        <v>0</v>
      </c>
      <c r="AP1363">
        <v>350</v>
      </c>
      <c r="AT1363" t="str">
        <f t="shared" si="260"/>
        <v>9791137602113</v>
      </c>
      <c r="AV1363" t="str">
        <f t="shared" si="258"/>
        <v>판타지 웹소설 &gt; 현대 판타지</v>
      </c>
    </row>
    <row r="1364" spans="1:48" x14ac:dyDescent="0.4">
      <c r="A1364">
        <v>2313011955</v>
      </c>
      <c r="B1364">
        <v>2313012298</v>
      </c>
      <c r="C1364" t="str">
        <f>T("갓 오브 블랙필드 344화")</f>
        <v>갓 오브 블랙필드 344화</v>
      </c>
      <c r="D1364" t="str">
        <f>T("344")</f>
        <v>344</v>
      </c>
      <c r="E1364" t="str">
        <f t="shared" si="257"/>
        <v>무장</v>
      </c>
      <c r="H1364" t="str">
        <f t="shared" si="256"/>
        <v>스토리위즈</v>
      </c>
      <c r="I1364" t="str">
        <f t="shared" si="259"/>
        <v>갓 오브 블랙필드</v>
      </c>
      <c r="J1364">
        <v>100</v>
      </c>
      <c r="K1364">
        <v>500</v>
      </c>
      <c r="L1364">
        <v>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500</v>
      </c>
      <c r="AH1364">
        <v>5</v>
      </c>
      <c r="AI1364">
        <v>0</v>
      </c>
      <c r="AJ1364">
        <v>0</v>
      </c>
      <c r="AK1364">
        <v>500</v>
      </c>
      <c r="AL1364">
        <v>0</v>
      </c>
      <c r="AM1364">
        <v>0</v>
      </c>
      <c r="AN1364">
        <v>0</v>
      </c>
      <c r="AO1364">
        <v>0</v>
      </c>
      <c r="AP1364">
        <v>350</v>
      </c>
      <c r="AT1364" t="str">
        <f t="shared" si="260"/>
        <v>9791137602113</v>
      </c>
      <c r="AV1364" t="str">
        <f t="shared" si="258"/>
        <v>판타지 웹소설 &gt; 현대 판타지</v>
      </c>
    </row>
    <row r="1365" spans="1:48" x14ac:dyDescent="0.4">
      <c r="A1365">
        <v>2313011955</v>
      </c>
      <c r="B1365">
        <v>2313012299</v>
      </c>
      <c r="C1365" t="str">
        <f>T("갓 오브 블랙필드 345화")</f>
        <v>갓 오브 블랙필드 345화</v>
      </c>
      <c r="D1365" t="str">
        <f>T("345")</f>
        <v>345</v>
      </c>
      <c r="E1365" t="str">
        <f t="shared" si="257"/>
        <v>무장</v>
      </c>
      <c r="H1365" t="str">
        <f t="shared" si="256"/>
        <v>스토리위즈</v>
      </c>
      <c r="I1365" t="str">
        <f t="shared" si="259"/>
        <v>갓 오브 블랙필드</v>
      </c>
      <c r="J1365">
        <v>100</v>
      </c>
      <c r="K1365">
        <v>500</v>
      </c>
      <c r="L1365">
        <v>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500</v>
      </c>
      <c r="AH1365">
        <v>5</v>
      </c>
      <c r="AI1365">
        <v>0</v>
      </c>
      <c r="AJ1365">
        <v>0</v>
      </c>
      <c r="AK1365">
        <v>500</v>
      </c>
      <c r="AL1365">
        <v>0</v>
      </c>
      <c r="AM1365">
        <v>0</v>
      </c>
      <c r="AN1365">
        <v>0</v>
      </c>
      <c r="AO1365">
        <v>0</v>
      </c>
      <c r="AP1365">
        <v>350</v>
      </c>
      <c r="AT1365" t="str">
        <f t="shared" si="260"/>
        <v>9791137602113</v>
      </c>
      <c r="AV1365" t="str">
        <f t="shared" si="258"/>
        <v>판타지 웹소설 &gt; 현대 판타지</v>
      </c>
    </row>
    <row r="1366" spans="1:48" x14ac:dyDescent="0.4">
      <c r="A1366">
        <v>2313011955</v>
      </c>
      <c r="B1366">
        <v>2313012300</v>
      </c>
      <c r="C1366" t="str">
        <f>T("갓 오브 블랙필드 346화")</f>
        <v>갓 오브 블랙필드 346화</v>
      </c>
      <c r="D1366" t="str">
        <f>T("346")</f>
        <v>346</v>
      </c>
      <c r="E1366" t="str">
        <f t="shared" si="257"/>
        <v>무장</v>
      </c>
      <c r="H1366" t="str">
        <f t="shared" si="256"/>
        <v>스토리위즈</v>
      </c>
      <c r="I1366" t="str">
        <f t="shared" si="259"/>
        <v>갓 오브 블랙필드</v>
      </c>
      <c r="J1366">
        <v>100</v>
      </c>
      <c r="K1366">
        <v>500</v>
      </c>
      <c r="L1366">
        <v>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500</v>
      </c>
      <c r="AH1366">
        <v>5</v>
      </c>
      <c r="AI1366">
        <v>0</v>
      </c>
      <c r="AJ1366">
        <v>0</v>
      </c>
      <c r="AK1366">
        <v>500</v>
      </c>
      <c r="AL1366">
        <v>0</v>
      </c>
      <c r="AM1366">
        <v>0</v>
      </c>
      <c r="AN1366">
        <v>0</v>
      </c>
      <c r="AO1366">
        <v>0</v>
      </c>
      <c r="AP1366">
        <v>350</v>
      </c>
      <c r="AT1366" t="str">
        <f t="shared" si="260"/>
        <v>9791137602113</v>
      </c>
      <c r="AV1366" t="str">
        <f t="shared" si="258"/>
        <v>판타지 웹소설 &gt; 현대 판타지</v>
      </c>
    </row>
    <row r="1367" spans="1:48" x14ac:dyDescent="0.4">
      <c r="A1367">
        <v>2313011955</v>
      </c>
      <c r="B1367">
        <v>2313012301</v>
      </c>
      <c r="C1367" t="str">
        <f>T("갓 오브 블랙필드 347화")</f>
        <v>갓 오브 블랙필드 347화</v>
      </c>
      <c r="D1367" t="str">
        <f>T("347")</f>
        <v>347</v>
      </c>
      <c r="E1367" t="str">
        <f t="shared" si="257"/>
        <v>무장</v>
      </c>
      <c r="H1367" t="str">
        <f t="shared" si="256"/>
        <v>스토리위즈</v>
      </c>
      <c r="I1367" t="str">
        <f t="shared" si="259"/>
        <v>갓 오브 블랙필드</v>
      </c>
      <c r="J1367">
        <v>100</v>
      </c>
      <c r="K1367">
        <v>500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500</v>
      </c>
      <c r="AH1367">
        <v>5</v>
      </c>
      <c r="AI1367">
        <v>0</v>
      </c>
      <c r="AJ1367">
        <v>0</v>
      </c>
      <c r="AK1367">
        <v>500</v>
      </c>
      <c r="AL1367">
        <v>0</v>
      </c>
      <c r="AM1367">
        <v>0</v>
      </c>
      <c r="AN1367">
        <v>0</v>
      </c>
      <c r="AO1367">
        <v>0</v>
      </c>
      <c r="AP1367">
        <v>350</v>
      </c>
      <c r="AT1367" t="str">
        <f t="shared" si="260"/>
        <v>9791137602113</v>
      </c>
      <c r="AV1367" t="str">
        <f t="shared" si="258"/>
        <v>판타지 웹소설 &gt; 현대 판타지</v>
      </c>
    </row>
    <row r="1368" spans="1:48" x14ac:dyDescent="0.4">
      <c r="A1368">
        <v>2313011955</v>
      </c>
      <c r="B1368">
        <v>2313012302</v>
      </c>
      <c r="C1368" t="str">
        <f>T("갓 오브 블랙필드 348화")</f>
        <v>갓 오브 블랙필드 348화</v>
      </c>
      <c r="D1368" t="str">
        <f>T("348")</f>
        <v>348</v>
      </c>
      <c r="E1368" t="str">
        <f t="shared" si="257"/>
        <v>무장</v>
      </c>
      <c r="H1368" t="str">
        <f t="shared" si="256"/>
        <v>스토리위즈</v>
      </c>
      <c r="I1368" t="str">
        <f t="shared" si="259"/>
        <v>갓 오브 블랙필드</v>
      </c>
      <c r="J1368">
        <v>100</v>
      </c>
      <c r="K1368">
        <v>500</v>
      </c>
      <c r="L1368">
        <v>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500</v>
      </c>
      <c r="AH1368">
        <v>5</v>
      </c>
      <c r="AI1368">
        <v>0</v>
      </c>
      <c r="AJ1368">
        <v>0</v>
      </c>
      <c r="AK1368">
        <v>500</v>
      </c>
      <c r="AL1368">
        <v>0</v>
      </c>
      <c r="AM1368">
        <v>0</v>
      </c>
      <c r="AN1368">
        <v>0</v>
      </c>
      <c r="AO1368">
        <v>0</v>
      </c>
      <c r="AP1368">
        <v>350</v>
      </c>
      <c r="AT1368" t="str">
        <f t="shared" si="260"/>
        <v>9791137602113</v>
      </c>
      <c r="AV1368" t="str">
        <f t="shared" si="258"/>
        <v>판타지 웹소설 &gt; 현대 판타지</v>
      </c>
    </row>
    <row r="1369" spans="1:48" x14ac:dyDescent="0.4">
      <c r="A1369">
        <v>2313011955</v>
      </c>
      <c r="B1369">
        <v>2313012303</v>
      </c>
      <c r="C1369" t="str">
        <f>T("갓 오브 블랙필드 349화")</f>
        <v>갓 오브 블랙필드 349화</v>
      </c>
      <c r="D1369" t="str">
        <f>T("349")</f>
        <v>349</v>
      </c>
      <c r="E1369" t="str">
        <f t="shared" si="257"/>
        <v>무장</v>
      </c>
      <c r="H1369" t="str">
        <f t="shared" si="256"/>
        <v>스토리위즈</v>
      </c>
      <c r="I1369" t="str">
        <f t="shared" si="259"/>
        <v>갓 오브 블랙필드</v>
      </c>
      <c r="J1369">
        <v>100</v>
      </c>
      <c r="K1369">
        <v>500</v>
      </c>
      <c r="L1369">
        <v>5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500</v>
      </c>
      <c r="AH1369">
        <v>5</v>
      </c>
      <c r="AI1369">
        <v>0</v>
      </c>
      <c r="AJ1369">
        <v>0</v>
      </c>
      <c r="AK1369">
        <v>500</v>
      </c>
      <c r="AL1369">
        <v>0</v>
      </c>
      <c r="AM1369">
        <v>0</v>
      </c>
      <c r="AN1369">
        <v>0</v>
      </c>
      <c r="AO1369">
        <v>0</v>
      </c>
      <c r="AP1369">
        <v>350</v>
      </c>
      <c r="AT1369" t="str">
        <f t="shared" si="260"/>
        <v>9791137602113</v>
      </c>
      <c r="AV1369" t="str">
        <f t="shared" si="258"/>
        <v>판타지 웹소설 &gt; 현대 판타지</v>
      </c>
    </row>
    <row r="1370" spans="1:48" x14ac:dyDescent="0.4">
      <c r="A1370">
        <v>2313011955</v>
      </c>
      <c r="B1370">
        <v>2313012304</v>
      </c>
      <c r="C1370" t="str">
        <f>T("갓 오브 블랙필드 350화")</f>
        <v>갓 오브 블랙필드 350화</v>
      </c>
      <c r="D1370" t="str">
        <f>T("350")</f>
        <v>350</v>
      </c>
      <c r="E1370" t="str">
        <f t="shared" si="257"/>
        <v>무장</v>
      </c>
      <c r="H1370" t="str">
        <f t="shared" si="256"/>
        <v>스토리위즈</v>
      </c>
      <c r="I1370" t="str">
        <f t="shared" si="259"/>
        <v>갓 오브 블랙필드</v>
      </c>
      <c r="J1370">
        <v>100</v>
      </c>
      <c r="K1370">
        <v>500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500</v>
      </c>
      <c r="AH1370">
        <v>5</v>
      </c>
      <c r="AI1370">
        <v>0</v>
      </c>
      <c r="AJ1370">
        <v>0</v>
      </c>
      <c r="AK1370">
        <v>500</v>
      </c>
      <c r="AL1370">
        <v>0</v>
      </c>
      <c r="AM1370">
        <v>0</v>
      </c>
      <c r="AN1370">
        <v>0</v>
      </c>
      <c r="AO1370">
        <v>0</v>
      </c>
      <c r="AP1370">
        <v>350</v>
      </c>
      <c r="AT1370" t="str">
        <f t="shared" si="260"/>
        <v>9791137602113</v>
      </c>
      <c r="AV1370" t="str">
        <f t="shared" si="258"/>
        <v>판타지 웹소설 &gt; 현대 판타지</v>
      </c>
    </row>
    <row r="1371" spans="1:48" x14ac:dyDescent="0.4">
      <c r="A1371">
        <v>2313011955</v>
      </c>
      <c r="B1371">
        <v>2313012305</v>
      </c>
      <c r="C1371" t="str">
        <f>T("갓 오브 블랙필드 351화")</f>
        <v>갓 오브 블랙필드 351화</v>
      </c>
      <c r="D1371" t="str">
        <f>T("351")</f>
        <v>351</v>
      </c>
      <c r="E1371" t="str">
        <f t="shared" si="257"/>
        <v>무장</v>
      </c>
      <c r="H1371" t="str">
        <f t="shared" si="256"/>
        <v>스토리위즈</v>
      </c>
      <c r="I1371" t="str">
        <f t="shared" si="259"/>
        <v>갓 오브 블랙필드</v>
      </c>
      <c r="J1371">
        <v>100</v>
      </c>
      <c r="K1371">
        <v>500</v>
      </c>
      <c r="L1371">
        <v>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500</v>
      </c>
      <c r="AH1371">
        <v>5</v>
      </c>
      <c r="AI1371">
        <v>0</v>
      </c>
      <c r="AJ1371">
        <v>0</v>
      </c>
      <c r="AK1371">
        <v>500</v>
      </c>
      <c r="AL1371">
        <v>0</v>
      </c>
      <c r="AM1371">
        <v>0</v>
      </c>
      <c r="AN1371">
        <v>0</v>
      </c>
      <c r="AO1371">
        <v>0</v>
      </c>
      <c r="AP1371">
        <v>350</v>
      </c>
      <c r="AT1371" t="str">
        <f t="shared" si="260"/>
        <v>9791137602113</v>
      </c>
      <c r="AV1371" t="str">
        <f t="shared" si="258"/>
        <v>판타지 웹소설 &gt; 현대 판타지</v>
      </c>
    </row>
    <row r="1372" spans="1:48" x14ac:dyDescent="0.4">
      <c r="A1372">
        <v>2313011955</v>
      </c>
      <c r="B1372">
        <v>2313012306</v>
      </c>
      <c r="C1372" t="str">
        <f>T("갓 오브 블랙필드 352화")</f>
        <v>갓 오브 블랙필드 352화</v>
      </c>
      <c r="D1372" t="str">
        <f>T("352")</f>
        <v>352</v>
      </c>
      <c r="E1372" t="str">
        <f t="shared" si="257"/>
        <v>무장</v>
      </c>
      <c r="H1372" t="str">
        <f t="shared" si="256"/>
        <v>스토리위즈</v>
      </c>
      <c r="I1372" t="str">
        <f t="shared" si="259"/>
        <v>갓 오브 블랙필드</v>
      </c>
      <c r="J1372">
        <v>100</v>
      </c>
      <c r="K1372">
        <v>500</v>
      </c>
      <c r="L1372">
        <v>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500</v>
      </c>
      <c r="AH1372">
        <v>5</v>
      </c>
      <c r="AI1372">
        <v>0</v>
      </c>
      <c r="AJ1372">
        <v>0</v>
      </c>
      <c r="AK1372">
        <v>500</v>
      </c>
      <c r="AL1372">
        <v>0</v>
      </c>
      <c r="AM1372">
        <v>0</v>
      </c>
      <c r="AN1372">
        <v>0</v>
      </c>
      <c r="AO1372">
        <v>0</v>
      </c>
      <c r="AP1372">
        <v>350</v>
      </c>
      <c r="AT1372" t="str">
        <f t="shared" si="260"/>
        <v>9791137602113</v>
      </c>
      <c r="AV1372" t="str">
        <f t="shared" si="258"/>
        <v>판타지 웹소설 &gt; 현대 판타지</v>
      </c>
    </row>
    <row r="1373" spans="1:48" x14ac:dyDescent="0.4">
      <c r="A1373">
        <v>2313011955</v>
      </c>
      <c r="B1373">
        <v>2313012307</v>
      </c>
      <c r="C1373" t="str">
        <f>T("갓 오브 블랙필드 353화")</f>
        <v>갓 오브 블랙필드 353화</v>
      </c>
      <c r="D1373" t="str">
        <f>T("353")</f>
        <v>353</v>
      </c>
      <c r="E1373" t="str">
        <f t="shared" si="257"/>
        <v>무장</v>
      </c>
      <c r="H1373" t="str">
        <f t="shared" si="256"/>
        <v>스토리위즈</v>
      </c>
      <c r="I1373" t="str">
        <f t="shared" si="259"/>
        <v>갓 오브 블랙필드</v>
      </c>
      <c r="J1373">
        <v>100</v>
      </c>
      <c r="K1373">
        <v>500</v>
      </c>
      <c r="L1373">
        <v>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500</v>
      </c>
      <c r="AH1373">
        <v>5</v>
      </c>
      <c r="AI1373">
        <v>0</v>
      </c>
      <c r="AJ1373">
        <v>0</v>
      </c>
      <c r="AK1373">
        <v>500</v>
      </c>
      <c r="AL1373">
        <v>0</v>
      </c>
      <c r="AM1373">
        <v>0</v>
      </c>
      <c r="AN1373">
        <v>0</v>
      </c>
      <c r="AO1373">
        <v>0</v>
      </c>
      <c r="AP1373">
        <v>350</v>
      </c>
      <c r="AT1373" t="str">
        <f t="shared" si="260"/>
        <v>9791137602113</v>
      </c>
      <c r="AV1373" t="str">
        <f t="shared" si="258"/>
        <v>판타지 웹소설 &gt; 현대 판타지</v>
      </c>
    </row>
    <row r="1374" spans="1:48" x14ac:dyDescent="0.4">
      <c r="A1374">
        <v>2313011955</v>
      </c>
      <c r="B1374">
        <v>2313012308</v>
      </c>
      <c r="C1374" t="str">
        <f>T("갓 오브 블랙필드 354화")</f>
        <v>갓 오브 블랙필드 354화</v>
      </c>
      <c r="D1374" t="str">
        <f>T("354")</f>
        <v>354</v>
      </c>
      <c r="E1374" t="str">
        <f t="shared" si="257"/>
        <v>무장</v>
      </c>
      <c r="H1374" t="str">
        <f t="shared" si="256"/>
        <v>스토리위즈</v>
      </c>
      <c r="I1374" t="str">
        <f t="shared" si="259"/>
        <v>갓 오브 블랙필드</v>
      </c>
      <c r="J1374">
        <v>100</v>
      </c>
      <c r="K1374">
        <v>500</v>
      </c>
      <c r="L1374">
        <v>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500</v>
      </c>
      <c r="AH1374">
        <v>5</v>
      </c>
      <c r="AI1374">
        <v>0</v>
      </c>
      <c r="AJ1374">
        <v>0</v>
      </c>
      <c r="AK1374">
        <v>500</v>
      </c>
      <c r="AL1374">
        <v>0</v>
      </c>
      <c r="AM1374">
        <v>0</v>
      </c>
      <c r="AN1374">
        <v>0</v>
      </c>
      <c r="AO1374">
        <v>0</v>
      </c>
      <c r="AP1374">
        <v>350</v>
      </c>
      <c r="AT1374" t="str">
        <f t="shared" si="260"/>
        <v>9791137602113</v>
      </c>
      <c r="AV1374" t="str">
        <f t="shared" si="258"/>
        <v>판타지 웹소설 &gt; 현대 판타지</v>
      </c>
    </row>
    <row r="1375" spans="1:48" x14ac:dyDescent="0.4">
      <c r="A1375">
        <v>2313011955</v>
      </c>
      <c r="B1375">
        <v>2313012309</v>
      </c>
      <c r="C1375" t="str">
        <f>T("갓 오브 블랙필드 355화")</f>
        <v>갓 오브 블랙필드 355화</v>
      </c>
      <c r="D1375" t="str">
        <f>T("355")</f>
        <v>355</v>
      </c>
      <c r="E1375" t="str">
        <f t="shared" si="257"/>
        <v>무장</v>
      </c>
      <c r="H1375" t="str">
        <f t="shared" si="256"/>
        <v>스토리위즈</v>
      </c>
      <c r="I1375" t="str">
        <f t="shared" si="259"/>
        <v>갓 오브 블랙필드</v>
      </c>
      <c r="J1375">
        <v>100</v>
      </c>
      <c r="K1375">
        <v>500</v>
      </c>
      <c r="L1375">
        <v>5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500</v>
      </c>
      <c r="AH1375">
        <v>5</v>
      </c>
      <c r="AI1375">
        <v>0</v>
      </c>
      <c r="AJ1375">
        <v>0</v>
      </c>
      <c r="AK1375">
        <v>500</v>
      </c>
      <c r="AL1375">
        <v>0</v>
      </c>
      <c r="AM1375">
        <v>0</v>
      </c>
      <c r="AN1375">
        <v>0</v>
      </c>
      <c r="AO1375">
        <v>0</v>
      </c>
      <c r="AP1375">
        <v>350</v>
      </c>
      <c r="AT1375" t="str">
        <f t="shared" si="260"/>
        <v>9791137602113</v>
      </c>
      <c r="AV1375" t="str">
        <f t="shared" si="258"/>
        <v>판타지 웹소설 &gt; 현대 판타지</v>
      </c>
    </row>
    <row r="1376" spans="1:48" x14ac:dyDescent="0.4">
      <c r="A1376">
        <v>2313011955</v>
      </c>
      <c r="B1376">
        <v>2313012310</v>
      </c>
      <c r="C1376" t="str">
        <f>T("갓 오브 블랙필드 356화")</f>
        <v>갓 오브 블랙필드 356화</v>
      </c>
      <c r="D1376" t="str">
        <f>T("356")</f>
        <v>356</v>
      </c>
      <c r="E1376" t="str">
        <f t="shared" si="257"/>
        <v>무장</v>
      </c>
      <c r="H1376" t="str">
        <f t="shared" si="256"/>
        <v>스토리위즈</v>
      </c>
      <c r="I1376" t="str">
        <f t="shared" si="259"/>
        <v>갓 오브 블랙필드</v>
      </c>
      <c r="J1376">
        <v>100</v>
      </c>
      <c r="K1376">
        <v>500</v>
      </c>
      <c r="L1376">
        <v>5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500</v>
      </c>
      <c r="AH1376">
        <v>5</v>
      </c>
      <c r="AI1376">
        <v>0</v>
      </c>
      <c r="AJ1376">
        <v>0</v>
      </c>
      <c r="AK1376">
        <v>500</v>
      </c>
      <c r="AL1376">
        <v>0</v>
      </c>
      <c r="AM1376">
        <v>0</v>
      </c>
      <c r="AN1376">
        <v>0</v>
      </c>
      <c r="AO1376">
        <v>0</v>
      </c>
      <c r="AP1376">
        <v>350</v>
      </c>
      <c r="AT1376" t="str">
        <f t="shared" si="260"/>
        <v>9791137602113</v>
      </c>
      <c r="AV1376" t="str">
        <f t="shared" si="258"/>
        <v>판타지 웹소설 &gt; 현대 판타지</v>
      </c>
    </row>
    <row r="1377" spans="1:48" x14ac:dyDescent="0.4">
      <c r="A1377">
        <v>2313011955</v>
      </c>
      <c r="B1377">
        <v>2313012311</v>
      </c>
      <c r="C1377" t="str">
        <f>T("갓 오브 블랙필드 357화")</f>
        <v>갓 오브 블랙필드 357화</v>
      </c>
      <c r="D1377" t="str">
        <f>T("357")</f>
        <v>357</v>
      </c>
      <c r="E1377" t="str">
        <f t="shared" si="257"/>
        <v>무장</v>
      </c>
      <c r="H1377" t="str">
        <f t="shared" si="256"/>
        <v>스토리위즈</v>
      </c>
      <c r="I1377" t="str">
        <f t="shared" si="259"/>
        <v>갓 오브 블랙필드</v>
      </c>
      <c r="J1377">
        <v>100</v>
      </c>
      <c r="K1377">
        <v>500</v>
      </c>
      <c r="L1377">
        <v>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500</v>
      </c>
      <c r="AH1377">
        <v>5</v>
      </c>
      <c r="AI1377">
        <v>0</v>
      </c>
      <c r="AJ1377">
        <v>0</v>
      </c>
      <c r="AK1377">
        <v>500</v>
      </c>
      <c r="AL1377">
        <v>0</v>
      </c>
      <c r="AM1377">
        <v>0</v>
      </c>
      <c r="AN1377">
        <v>0</v>
      </c>
      <c r="AO1377">
        <v>0</v>
      </c>
      <c r="AP1377">
        <v>350</v>
      </c>
      <c r="AT1377" t="str">
        <f t="shared" si="260"/>
        <v>9791137602113</v>
      </c>
      <c r="AV1377" t="str">
        <f t="shared" si="258"/>
        <v>판타지 웹소설 &gt; 현대 판타지</v>
      </c>
    </row>
    <row r="1378" spans="1:48" x14ac:dyDescent="0.4">
      <c r="A1378">
        <v>2313011955</v>
      </c>
      <c r="B1378">
        <v>2313012312</v>
      </c>
      <c r="C1378" t="str">
        <f>T("갓 오브 블랙필드 358화")</f>
        <v>갓 오브 블랙필드 358화</v>
      </c>
      <c r="D1378" t="str">
        <f>T("358")</f>
        <v>358</v>
      </c>
      <c r="E1378" t="str">
        <f t="shared" si="257"/>
        <v>무장</v>
      </c>
      <c r="H1378" t="str">
        <f t="shared" si="256"/>
        <v>스토리위즈</v>
      </c>
      <c r="I1378" t="str">
        <f t="shared" si="259"/>
        <v>갓 오브 블랙필드</v>
      </c>
      <c r="J1378">
        <v>100</v>
      </c>
      <c r="K1378">
        <v>500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500</v>
      </c>
      <c r="AH1378">
        <v>5</v>
      </c>
      <c r="AI1378">
        <v>0</v>
      </c>
      <c r="AJ1378">
        <v>0</v>
      </c>
      <c r="AK1378">
        <v>500</v>
      </c>
      <c r="AL1378">
        <v>0</v>
      </c>
      <c r="AM1378">
        <v>0</v>
      </c>
      <c r="AN1378">
        <v>0</v>
      </c>
      <c r="AO1378">
        <v>0</v>
      </c>
      <c r="AP1378">
        <v>350</v>
      </c>
      <c r="AT1378" t="str">
        <f t="shared" si="260"/>
        <v>9791137602113</v>
      </c>
      <c r="AV1378" t="str">
        <f t="shared" si="258"/>
        <v>판타지 웹소설 &gt; 현대 판타지</v>
      </c>
    </row>
    <row r="1379" spans="1:48" x14ac:dyDescent="0.4">
      <c r="A1379">
        <v>2313011955</v>
      </c>
      <c r="B1379">
        <v>2313012313</v>
      </c>
      <c r="C1379" t="str">
        <f>T("갓 오브 블랙필드 359화")</f>
        <v>갓 오브 블랙필드 359화</v>
      </c>
      <c r="D1379" t="str">
        <f>T("359")</f>
        <v>359</v>
      </c>
      <c r="E1379" t="str">
        <f t="shared" si="257"/>
        <v>무장</v>
      </c>
      <c r="H1379" t="str">
        <f t="shared" si="256"/>
        <v>스토리위즈</v>
      </c>
      <c r="I1379" t="str">
        <f t="shared" si="259"/>
        <v>갓 오브 블랙필드</v>
      </c>
      <c r="J1379">
        <v>100</v>
      </c>
      <c r="K1379">
        <v>500</v>
      </c>
      <c r="L1379">
        <v>5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500</v>
      </c>
      <c r="AH1379">
        <v>5</v>
      </c>
      <c r="AI1379">
        <v>0</v>
      </c>
      <c r="AJ1379">
        <v>0</v>
      </c>
      <c r="AK1379">
        <v>500</v>
      </c>
      <c r="AL1379">
        <v>0</v>
      </c>
      <c r="AM1379">
        <v>0</v>
      </c>
      <c r="AN1379">
        <v>0</v>
      </c>
      <c r="AO1379">
        <v>0</v>
      </c>
      <c r="AP1379">
        <v>350</v>
      </c>
      <c r="AT1379" t="str">
        <f t="shared" si="260"/>
        <v>9791137602113</v>
      </c>
      <c r="AV1379" t="str">
        <f t="shared" si="258"/>
        <v>판타지 웹소설 &gt; 현대 판타지</v>
      </c>
    </row>
    <row r="1380" spans="1:48" x14ac:dyDescent="0.4">
      <c r="A1380">
        <v>2313011955</v>
      </c>
      <c r="B1380">
        <v>2313012314</v>
      </c>
      <c r="C1380" t="str">
        <f>T("갓 오브 블랙필드 360화")</f>
        <v>갓 오브 블랙필드 360화</v>
      </c>
      <c r="D1380" t="str">
        <f>T("360")</f>
        <v>360</v>
      </c>
      <c r="E1380" t="str">
        <f t="shared" si="257"/>
        <v>무장</v>
      </c>
      <c r="H1380" t="str">
        <f t="shared" si="256"/>
        <v>스토리위즈</v>
      </c>
      <c r="I1380" t="str">
        <f t="shared" si="259"/>
        <v>갓 오브 블랙필드</v>
      </c>
      <c r="J1380">
        <v>100</v>
      </c>
      <c r="K1380">
        <v>500</v>
      </c>
      <c r="L1380">
        <v>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500</v>
      </c>
      <c r="AH1380">
        <v>5</v>
      </c>
      <c r="AI1380">
        <v>0</v>
      </c>
      <c r="AJ1380">
        <v>0</v>
      </c>
      <c r="AK1380">
        <v>500</v>
      </c>
      <c r="AL1380">
        <v>0</v>
      </c>
      <c r="AM1380">
        <v>0</v>
      </c>
      <c r="AN1380">
        <v>0</v>
      </c>
      <c r="AO1380">
        <v>0</v>
      </c>
      <c r="AP1380">
        <v>350</v>
      </c>
      <c r="AT1380" t="str">
        <f t="shared" si="260"/>
        <v>9791137602113</v>
      </c>
      <c r="AV1380" t="str">
        <f t="shared" si="258"/>
        <v>판타지 웹소설 &gt; 현대 판타지</v>
      </c>
    </row>
    <row r="1381" spans="1:48" x14ac:dyDescent="0.4">
      <c r="A1381">
        <v>2313011955</v>
      </c>
      <c r="B1381">
        <v>2313012315</v>
      </c>
      <c r="C1381" t="str">
        <f>T("갓 오브 블랙필드 361화")</f>
        <v>갓 오브 블랙필드 361화</v>
      </c>
      <c r="D1381" t="str">
        <f>T("361")</f>
        <v>361</v>
      </c>
      <c r="E1381" t="str">
        <f t="shared" si="257"/>
        <v>무장</v>
      </c>
      <c r="H1381" t="str">
        <f t="shared" si="256"/>
        <v>스토리위즈</v>
      </c>
      <c r="I1381" t="str">
        <f t="shared" si="259"/>
        <v>갓 오브 블랙필드</v>
      </c>
      <c r="J1381">
        <v>100</v>
      </c>
      <c r="K1381">
        <v>500</v>
      </c>
      <c r="L1381">
        <v>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500</v>
      </c>
      <c r="AH1381">
        <v>5</v>
      </c>
      <c r="AI1381">
        <v>0</v>
      </c>
      <c r="AJ1381">
        <v>0</v>
      </c>
      <c r="AK1381">
        <v>500</v>
      </c>
      <c r="AL1381">
        <v>0</v>
      </c>
      <c r="AM1381">
        <v>0</v>
      </c>
      <c r="AN1381">
        <v>0</v>
      </c>
      <c r="AO1381">
        <v>0</v>
      </c>
      <c r="AP1381">
        <v>350</v>
      </c>
      <c r="AT1381" t="str">
        <f t="shared" si="260"/>
        <v>9791137602113</v>
      </c>
      <c r="AV1381" t="str">
        <f t="shared" si="258"/>
        <v>판타지 웹소설 &gt; 현대 판타지</v>
      </c>
    </row>
    <row r="1382" spans="1:48" x14ac:dyDescent="0.4">
      <c r="A1382">
        <v>2313011955</v>
      </c>
      <c r="B1382">
        <v>2313012791</v>
      </c>
      <c r="C1382" t="str">
        <f>T("갓 오브 블랙필드 2부 94화")</f>
        <v>갓 오브 블랙필드 2부 94화</v>
      </c>
      <c r="D1382" t="str">
        <f>T("575")</f>
        <v>575</v>
      </c>
      <c r="E1382" t="str">
        <f t="shared" si="257"/>
        <v>무장</v>
      </c>
      <c r="H1382" t="str">
        <f t="shared" si="256"/>
        <v>스토리위즈</v>
      </c>
      <c r="I1382" t="str">
        <f t="shared" si="259"/>
        <v>갓 오브 블랙필드</v>
      </c>
      <c r="J1382">
        <v>100</v>
      </c>
      <c r="K1382">
        <v>500</v>
      </c>
      <c r="L1382">
        <v>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500</v>
      </c>
      <c r="AH1382">
        <v>5</v>
      </c>
      <c r="AI1382">
        <v>0</v>
      </c>
      <c r="AJ1382">
        <v>0</v>
      </c>
      <c r="AK1382">
        <v>500</v>
      </c>
      <c r="AL1382">
        <v>0</v>
      </c>
      <c r="AM1382">
        <v>0</v>
      </c>
      <c r="AN1382">
        <v>0</v>
      </c>
      <c r="AO1382">
        <v>0</v>
      </c>
      <c r="AP1382">
        <v>350</v>
      </c>
      <c r="AT1382" t="str">
        <f t="shared" si="260"/>
        <v>9791137602113</v>
      </c>
      <c r="AV1382" t="str">
        <f t="shared" si="258"/>
        <v>판타지 웹소설 &gt; 현대 판타지</v>
      </c>
    </row>
    <row r="1383" spans="1:48" x14ac:dyDescent="0.4">
      <c r="A1383">
        <v>2313012849</v>
      </c>
      <c r="B1383">
        <v>2313012875</v>
      </c>
      <c r="C1383" t="str">
        <f>T("디버프 마스터 27화")</f>
        <v>디버프 마스터 27화</v>
      </c>
      <c r="D1383" t="str">
        <f>T("27")</f>
        <v>27</v>
      </c>
      <c r="E1383" t="str">
        <f t="shared" ref="E1383:E1392" si="261">T("담화공")</f>
        <v>담화공</v>
      </c>
      <c r="H1383" t="str">
        <f t="shared" si="256"/>
        <v>스토리위즈</v>
      </c>
      <c r="I1383" t="str">
        <f t="shared" ref="I1383:I1392" si="262">T("디버프 마스터")</f>
        <v>디버프 마스터</v>
      </c>
      <c r="J1383">
        <v>100</v>
      </c>
      <c r="K1383">
        <v>500</v>
      </c>
      <c r="L1383">
        <v>5</v>
      </c>
      <c r="M1383">
        <v>0</v>
      </c>
      <c r="N1383">
        <v>0</v>
      </c>
      <c r="O1383">
        <v>0</v>
      </c>
      <c r="P1383">
        <v>227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500</v>
      </c>
      <c r="AH1383">
        <v>232</v>
      </c>
      <c r="AI1383">
        <v>0</v>
      </c>
      <c r="AJ1383">
        <v>0</v>
      </c>
      <c r="AK1383">
        <v>500</v>
      </c>
      <c r="AL1383">
        <v>0</v>
      </c>
      <c r="AM1383">
        <v>0</v>
      </c>
      <c r="AN1383">
        <v>0</v>
      </c>
      <c r="AO1383">
        <v>0</v>
      </c>
      <c r="AP1383">
        <v>350</v>
      </c>
      <c r="AT1383" t="str">
        <f t="shared" ref="AT1383:AT1392" si="263">T("9791137602663")</f>
        <v>9791137602663</v>
      </c>
      <c r="AV1383" t="str">
        <f t="shared" ref="AV1383:AV1392" si="264">T("판타지 웹소설 &gt; 퓨전 판타지")</f>
        <v>판타지 웹소설 &gt; 퓨전 판타지</v>
      </c>
    </row>
    <row r="1384" spans="1:48" x14ac:dyDescent="0.4">
      <c r="A1384">
        <v>2313012849</v>
      </c>
      <c r="B1384">
        <v>2313013089</v>
      </c>
      <c r="C1384" t="str">
        <f>T("디버프 마스터 241화")</f>
        <v>디버프 마스터 241화</v>
      </c>
      <c r="D1384" t="str">
        <f>T("241")</f>
        <v>241</v>
      </c>
      <c r="E1384" t="str">
        <f t="shared" si="261"/>
        <v>담화공</v>
      </c>
      <c r="H1384" t="str">
        <f t="shared" si="256"/>
        <v>스토리위즈</v>
      </c>
      <c r="I1384" t="str">
        <f t="shared" si="262"/>
        <v>디버프 마스터</v>
      </c>
      <c r="J1384">
        <v>100</v>
      </c>
      <c r="K1384">
        <v>500</v>
      </c>
      <c r="L1384">
        <v>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500</v>
      </c>
      <c r="AH1384">
        <v>5</v>
      </c>
      <c r="AI1384">
        <v>0</v>
      </c>
      <c r="AJ1384">
        <v>0</v>
      </c>
      <c r="AK1384">
        <v>500</v>
      </c>
      <c r="AL1384">
        <v>0</v>
      </c>
      <c r="AM1384">
        <v>0</v>
      </c>
      <c r="AN1384">
        <v>0</v>
      </c>
      <c r="AO1384">
        <v>0</v>
      </c>
      <c r="AP1384">
        <v>350</v>
      </c>
      <c r="AT1384" t="str">
        <f t="shared" si="263"/>
        <v>9791137602663</v>
      </c>
      <c r="AV1384" t="str">
        <f t="shared" si="264"/>
        <v>판타지 웹소설 &gt; 퓨전 판타지</v>
      </c>
    </row>
    <row r="1385" spans="1:48" x14ac:dyDescent="0.4">
      <c r="A1385">
        <v>2313012849</v>
      </c>
      <c r="B1385">
        <v>2313013090</v>
      </c>
      <c r="C1385" t="str">
        <f>T("디버프 마스터 242화")</f>
        <v>디버프 마스터 242화</v>
      </c>
      <c r="D1385" t="str">
        <f>T("242")</f>
        <v>242</v>
      </c>
      <c r="E1385" t="str">
        <f t="shared" si="261"/>
        <v>담화공</v>
      </c>
      <c r="H1385" t="str">
        <f t="shared" si="256"/>
        <v>스토리위즈</v>
      </c>
      <c r="I1385" t="str">
        <f t="shared" si="262"/>
        <v>디버프 마스터</v>
      </c>
      <c r="J1385">
        <v>100</v>
      </c>
      <c r="K1385">
        <v>500</v>
      </c>
      <c r="L1385">
        <v>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500</v>
      </c>
      <c r="AH1385">
        <v>5</v>
      </c>
      <c r="AI1385">
        <v>0</v>
      </c>
      <c r="AJ1385">
        <v>0</v>
      </c>
      <c r="AK1385">
        <v>500</v>
      </c>
      <c r="AL1385">
        <v>0</v>
      </c>
      <c r="AM1385">
        <v>0</v>
      </c>
      <c r="AN1385">
        <v>0</v>
      </c>
      <c r="AO1385">
        <v>0</v>
      </c>
      <c r="AP1385">
        <v>350</v>
      </c>
      <c r="AT1385" t="str">
        <f t="shared" si="263"/>
        <v>9791137602663</v>
      </c>
      <c r="AV1385" t="str">
        <f t="shared" si="264"/>
        <v>판타지 웹소설 &gt; 퓨전 판타지</v>
      </c>
    </row>
    <row r="1386" spans="1:48" x14ac:dyDescent="0.4">
      <c r="A1386">
        <v>2313012849</v>
      </c>
      <c r="B1386">
        <v>2313013092</v>
      </c>
      <c r="C1386" t="str">
        <f>T("디버프 마스터 244화")</f>
        <v>디버프 마스터 244화</v>
      </c>
      <c r="D1386" t="str">
        <f>T("244")</f>
        <v>244</v>
      </c>
      <c r="E1386" t="str">
        <f t="shared" si="261"/>
        <v>담화공</v>
      </c>
      <c r="H1386" t="str">
        <f t="shared" si="256"/>
        <v>스토리위즈</v>
      </c>
      <c r="I1386" t="str">
        <f t="shared" si="262"/>
        <v>디버프 마스터</v>
      </c>
      <c r="J1386">
        <v>100</v>
      </c>
      <c r="K1386">
        <v>500</v>
      </c>
      <c r="L1386">
        <v>5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500</v>
      </c>
      <c r="AH1386">
        <v>5</v>
      </c>
      <c r="AI1386">
        <v>0</v>
      </c>
      <c r="AJ1386">
        <v>0</v>
      </c>
      <c r="AK1386">
        <v>500</v>
      </c>
      <c r="AL1386">
        <v>0</v>
      </c>
      <c r="AM1386">
        <v>0</v>
      </c>
      <c r="AN1386">
        <v>0</v>
      </c>
      <c r="AO1386">
        <v>0</v>
      </c>
      <c r="AP1386">
        <v>350</v>
      </c>
      <c r="AT1386" t="str">
        <f t="shared" si="263"/>
        <v>9791137602663</v>
      </c>
      <c r="AV1386" t="str">
        <f t="shared" si="264"/>
        <v>판타지 웹소설 &gt; 퓨전 판타지</v>
      </c>
    </row>
    <row r="1387" spans="1:48" x14ac:dyDescent="0.4">
      <c r="A1387">
        <v>2313012849</v>
      </c>
      <c r="B1387">
        <v>2313013093</v>
      </c>
      <c r="C1387" t="str">
        <f>T("디버프 마스터 245화")</f>
        <v>디버프 마스터 245화</v>
      </c>
      <c r="D1387" t="str">
        <f>T("245")</f>
        <v>245</v>
      </c>
      <c r="E1387" t="str">
        <f t="shared" si="261"/>
        <v>담화공</v>
      </c>
      <c r="H1387" t="str">
        <f t="shared" si="256"/>
        <v>스토리위즈</v>
      </c>
      <c r="I1387" t="str">
        <f t="shared" si="262"/>
        <v>디버프 마스터</v>
      </c>
      <c r="J1387">
        <v>100</v>
      </c>
      <c r="K1387">
        <v>500</v>
      </c>
      <c r="L1387">
        <v>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500</v>
      </c>
      <c r="AH1387">
        <v>5</v>
      </c>
      <c r="AI1387">
        <v>0</v>
      </c>
      <c r="AJ1387">
        <v>0</v>
      </c>
      <c r="AK1387">
        <v>500</v>
      </c>
      <c r="AL1387">
        <v>0</v>
      </c>
      <c r="AM1387">
        <v>0</v>
      </c>
      <c r="AN1387">
        <v>0</v>
      </c>
      <c r="AO1387">
        <v>0</v>
      </c>
      <c r="AP1387">
        <v>350</v>
      </c>
      <c r="AT1387" t="str">
        <f t="shared" si="263"/>
        <v>9791137602663</v>
      </c>
      <c r="AV1387" t="str">
        <f t="shared" si="264"/>
        <v>판타지 웹소설 &gt; 퓨전 판타지</v>
      </c>
    </row>
    <row r="1388" spans="1:48" x14ac:dyDescent="0.4">
      <c r="A1388">
        <v>2313012849</v>
      </c>
      <c r="B1388">
        <v>2313013094</v>
      </c>
      <c r="C1388" t="str">
        <f>T("디버프 마스터 246화")</f>
        <v>디버프 마스터 246화</v>
      </c>
      <c r="D1388" t="str">
        <f>T("246")</f>
        <v>246</v>
      </c>
      <c r="E1388" t="str">
        <f t="shared" si="261"/>
        <v>담화공</v>
      </c>
      <c r="H1388" t="str">
        <f t="shared" si="256"/>
        <v>스토리위즈</v>
      </c>
      <c r="I1388" t="str">
        <f t="shared" si="262"/>
        <v>디버프 마스터</v>
      </c>
      <c r="J1388">
        <v>100</v>
      </c>
      <c r="K1388">
        <v>500</v>
      </c>
      <c r="L1388">
        <v>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500</v>
      </c>
      <c r="AH1388">
        <v>5</v>
      </c>
      <c r="AI1388">
        <v>0</v>
      </c>
      <c r="AJ1388">
        <v>0</v>
      </c>
      <c r="AK1388">
        <v>500</v>
      </c>
      <c r="AL1388">
        <v>0</v>
      </c>
      <c r="AM1388">
        <v>0</v>
      </c>
      <c r="AN1388">
        <v>0</v>
      </c>
      <c r="AO1388">
        <v>0</v>
      </c>
      <c r="AP1388">
        <v>350</v>
      </c>
      <c r="AT1388" t="str">
        <f t="shared" si="263"/>
        <v>9791137602663</v>
      </c>
      <c r="AV1388" t="str">
        <f t="shared" si="264"/>
        <v>판타지 웹소설 &gt; 퓨전 판타지</v>
      </c>
    </row>
    <row r="1389" spans="1:48" x14ac:dyDescent="0.4">
      <c r="A1389">
        <v>2313012849</v>
      </c>
      <c r="B1389">
        <v>2313013095</v>
      </c>
      <c r="C1389" t="str">
        <f>T("디버프 마스터 247화")</f>
        <v>디버프 마스터 247화</v>
      </c>
      <c r="D1389" t="str">
        <f>T("247")</f>
        <v>247</v>
      </c>
      <c r="E1389" t="str">
        <f t="shared" si="261"/>
        <v>담화공</v>
      </c>
      <c r="H1389" t="str">
        <f t="shared" si="256"/>
        <v>스토리위즈</v>
      </c>
      <c r="I1389" t="str">
        <f t="shared" si="262"/>
        <v>디버프 마스터</v>
      </c>
      <c r="J1389">
        <v>100</v>
      </c>
      <c r="K1389">
        <v>500</v>
      </c>
      <c r="L1389">
        <v>5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500</v>
      </c>
      <c r="AH1389">
        <v>5</v>
      </c>
      <c r="AI1389">
        <v>0</v>
      </c>
      <c r="AJ1389">
        <v>0</v>
      </c>
      <c r="AK1389">
        <v>500</v>
      </c>
      <c r="AL1389">
        <v>0</v>
      </c>
      <c r="AM1389">
        <v>0</v>
      </c>
      <c r="AN1389">
        <v>0</v>
      </c>
      <c r="AO1389">
        <v>0</v>
      </c>
      <c r="AP1389">
        <v>350</v>
      </c>
      <c r="AT1389" t="str">
        <f t="shared" si="263"/>
        <v>9791137602663</v>
      </c>
      <c r="AV1389" t="str">
        <f t="shared" si="264"/>
        <v>판타지 웹소설 &gt; 퓨전 판타지</v>
      </c>
    </row>
    <row r="1390" spans="1:48" x14ac:dyDescent="0.4">
      <c r="A1390">
        <v>2313012849</v>
      </c>
      <c r="B1390">
        <v>2313013096</v>
      </c>
      <c r="C1390" t="str">
        <f>T("디버프 마스터 248화")</f>
        <v>디버프 마스터 248화</v>
      </c>
      <c r="D1390" t="str">
        <f>T("248")</f>
        <v>248</v>
      </c>
      <c r="E1390" t="str">
        <f t="shared" si="261"/>
        <v>담화공</v>
      </c>
      <c r="H1390" t="str">
        <f t="shared" si="256"/>
        <v>스토리위즈</v>
      </c>
      <c r="I1390" t="str">
        <f t="shared" si="262"/>
        <v>디버프 마스터</v>
      </c>
      <c r="J1390">
        <v>100</v>
      </c>
      <c r="K1390">
        <v>500</v>
      </c>
      <c r="L1390">
        <v>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500</v>
      </c>
      <c r="AH1390">
        <v>5</v>
      </c>
      <c r="AI1390">
        <v>0</v>
      </c>
      <c r="AJ1390">
        <v>0</v>
      </c>
      <c r="AK1390">
        <v>500</v>
      </c>
      <c r="AL1390">
        <v>0</v>
      </c>
      <c r="AM1390">
        <v>0</v>
      </c>
      <c r="AN1390">
        <v>0</v>
      </c>
      <c r="AO1390">
        <v>0</v>
      </c>
      <c r="AP1390">
        <v>350</v>
      </c>
      <c r="AT1390" t="str">
        <f t="shared" si="263"/>
        <v>9791137602663</v>
      </c>
      <c r="AV1390" t="str">
        <f t="shared" si="264"/>
        <v>판타지 웹소설 &gt; 퓨전 판타지</v>
      </c>
    </row>
    <row r="1391" spans="1:48" x14ac:dyDescent="0.4">
      <c r="A1391">
        <v>2313012849</v>
      </c>
      <c r="B1391">
        <v>2313013097</v>
      </c>
      <c r="C1391" t="str">
        <f>T("디버프 마스터 249화")</f>
        <v>디버프 마스터 249화</v>
      </c>
      <c r="D1391" t="str">
        <f>T("249")</f>
        <v>249</v>
      </c>
      <c r="E1391" t="str">
        <f t="shared" si="261"/>
        <v>담화공</v>
      </c>
      <c r="H1391" t="str">
        <f t="shared" si="256"/>
        <v>스토리위즈</v>
      </c>
      <c r="I1391" t="str">
        <f t="shared" si="262"/>
        <v>디버프 마스터</v>
      </c>
      <c r="J1391">
        <v>100</v>
      </c>
      <c r="K1391">
        <v>500</v>
      </c>
      <c r="L1391">
        <v>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500</v>
      </c>
      <c r="AH1391">
        <v>5</v>
      </c>
      <c r="AI1391">
        <v>0</v>
      </c>
      <c r="AJ1391">
        <v>0</v>
      </c>
      <c r="AK1391">
        <v>500</v>
      </c>
      <c r="AL1391">
        <v>0</v>
      </c>
      <c r="AM1391">
        <v>0</v>
      </c>
      <c r="AN1391">
        <v>0</v>
      </c>
      <c r="AO1391">
        <v>0</v>
      </c>
      <c r="AP1391">
        <v>350</v>
      </c>
      <c r="AT1391" t="str">
        <f t="shared" si="263"/>
        <v>9791137602663</v>
      </c>
      <c r="AV1391" t="str">
        <f t="shared" si="264"/>
        <v>판타지 웹소설 &gt; 퓨전 판타지</v>
      </c>
    </row>
    <row r="1392" spans="1:48" x14ac:dyDescent="0.4">
      <c r="A1392">
        <v>2313012849</v>
      </c>
      <c r="B1392">
        <v>2313013098</v>
      </c>
      <c r="C1392" t="str">
        <f>T("디버프 마스터 250화")</f>
        <v>디버프 마스터 250화</v>
      </c>
      <c r="D1392" t="str">
        <f>T("250")</f>
        <v>250</v>
      </c>
      <c r="E1392" t="str">
        <f t="shared" si="261"/>
        <v>담화공</v>
      </c>
      <c r="H1392" t="str">
        <f t="shared" si="256"/>
        <v>스토리위즈</v>
      </c>
      <c r="I1392" t="str">
        <f t="shared" si="262"/>
        <v>디버프 마스터</v>
      </c>
      <c r="J1392">
        <v>100</v>
      </c>
      <c r="K1392">
        <v>500</v>
      </c>
      <c r="L1392">
        <v>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500</v>
      </c>
      <c r="AH1392">
        <v>5</v>
      </c>
      <c r="AI1392">
        <v>0</v>
      </c>
      <c r="AJ1392">
        <v>0</v>
      </c>
      <c r="AK1392">
        <v>500</v>
      </c>
      <c r="AL1392">
        <v>0</v>
      </c>
      <c r="AM1392">
        <v>0</v>
      </c>
      <c r="AN1392">
        <v>0</v>
      </c>
      <c r="AO1392">
        <v>0</v>
      </c>
      <c r="AP1392">
        <v>350</v>
      </c>
      <c r="AT1392" t="str">
        <f t="shared" si="263"/>
        <v>9791137602663</v>
      </c>
      <c r="AV1392" t="str">
        <f t="shared" si="264"/>
        <v>판타지 웹소설 &gt; 퓨전 판타지</v>
      </c>
    </row>
    <row r="1393" spans="1:49" x14ac:dyDescent="0.4">
      <c r="A1393">
        <v>2313016875</v>
      </c>
      <c r="B1393">
        <v>2313016872</v>
      </c>
      <c r="C1393" t="str">
        <f>T("[e북]사랑한다 윤혜영 (외전증보 삽화본) (외전)")</f>
        <v>[e북]사랑한다 윤혜영 (외전증보 삽화본) (외전)</v>
      </c>
      <c r="D1393" t="str">
        <f>T("4")</f>
        <v>4</v>
      </c>
      <c r="E1393" t="str">
        <f>T("블랙커피")</f>
        <v>블랙커피</v>
      </c>
      <c r="H1393" t="str">
        <f>T("도서출판 태랑")</f>
        <v>도서출판 태랑</v>
      </c>
      <c r="I1393" t="str">
        <f>T("[e북]사랑한다 윤혜영 (외전증보 삽화본)")</f>
        <v>[e북]사랑한다 윤혜영 (외전증보 삽화본)</v>
      </c>
      <c r="J1393">
        <v>500</v>
      </c>
      <c r="K1393">
        <v>500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500</v>
      </c>
      <c r="AH1393">
        <v>1</v>
      </c>
      <c r="AI1393">
        <v>0</v>
      </c>
      <c r="AJ1393">
        <v>0</v>
      </c>
      <c r="AK1393">
        <v>500</v>
      </c>
      <c r="AL1393">
        <v>0</v>
      </c>
      <c r="AM1393">
        <v>0</v>
      </c>
      <c r="AN1393">
        <v>0</v>
      </c>
      <c r="AO1393">
        <v>0</v>
      </c>
      <c r="AP1393">
        <v>350</v>
      </c>
      <c r="AT1393" t="str">
        <f>T("9791164374205")</f>
        <v>9791164374205</v>
      </c>
      <c r="AV1393" t="str">
        <f>T("로맨스 e북 &gt; 현대물")</f>
        <v>로맨스 e북 &gt; 현대물</v>
      </c>
      <c r="AW1393" t="str">
        <f>T("로맨스 e북 &gt; 19+")</f>
        <v>로맨스 e북 &gt; 19+</v>
      </c>
    </row>
    <row r="1394" spans="1:49" x14ac:dyDescent="0.4">
      <c r="A1394">
        <v>2313016942</v>
      </c>
      <c r="B1394">
        <v>2313016925</v>
      </c>
      <c r="C1394" t="str">
        <f>T("[e북]내 이름을 불러 (외전증보판) (외전)")</f>
        <v>[e북]내 이름을 불러 (외전증보판) (외전)</v>
      </c>
      <c r="D1394" t="str">
        <f>T("3")</f>
        <v>3</v>
      </c>
      <c r="E1394" t="str">
        <f>T("모리미")</f>
        <v>모리미</v>
      </c>
      <c r="H1394" t="str">
        <f>T("도서출판 태랑")</f>
        <v>도서출판 태랑</v>
      </c>
      <c r="I1394" t="str">
        <f>T("[e북]내 이름을 불러 (외전증보판)")</f>
        <v>[e북]내 이름을 불러 (외전증보판)</v>
      </c>
      <c r="J1394">
        <v>500</v>
      </c>
      <c r="K1394">
        <v>500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500</v>
      </c>
      <c r="AH1394">
        <v>1</v>
      </c>
      <c r="AI1394">
        <v>0</v>
      </c>
      <c r="AJ1394">
        <v>0</v>
      </c>
      <c r="AK1394">
        <v>500</v>
      </c>
      <c r="AL1394">
        <v>0</v>
      </c>
      <c r="AM1394">
        <v>0</v>
      </c>
      <c r="AN1394">
        <v>0</v>
      </c>
      <c r="AO1394">
        <v>0</v>
      </c>
      <c r="AP1394">
        <v>350</v>
      </c>
      <c r="AT1394" t="str">
        <f>T("9791164373611")</f>
        <v>9791164373611</v>
      </c>
      <c r="AV1394" t="str">
        <f>T("BL 소설 e북 &gt; 현대물")</f>
        <v>BL 소설 e북 &gt; 현대물</v>
      </c>
    </row>
    <row r="1395" spans="1:49" x14ac:dyDescent="0.4">
      <c r="A1395">
        <v>2313017132</v>
      </c>
      <c r="B1395">
        <v>2313017129</v>
      </c>
      <c r="C1395" t="str">
        <f>T("[e북]나는 너를, 너는 나를 (외전)")</f>
        <v>[e북]나는 너를, 너는 나를 (외전)</v>
      </c>
      <c r="D1395" t="str">
        <f>T("4")</f>
        <v>4</v>
      </c>
      <c r="E1395" t="str">
        <f>T("라비니안느")</f>
        <v>라비니안느</v>
      </c>
      <c r="H1395" t="str">
        <f>T("도서출판 태랑")</f>
        <v>도서출판 태랑</v>
      </c>
      <c r="I1395" t="str">
        <f>T("[e북]나는 너를, 너는 나를 (외전증보판)")</f>
        <v>[e북]나는 너를, 너는 나를 (외전증보판)</v>
      </c>
      <c r="J1395">
        <v>500</v>
      </c>
      <c r="K1395">
        <v>500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500</v>
      </c>
      <c r="AH1395">
        <v>1</v>
      </c>
      <c r="AI1395">
        <v>0</v>
      </c>
      <c r="AJ1395">
        <v>0</v>
      </c>
      <c r="AK1395">
        <v>500</v>
      </c>
      <c r="AL1395">
        <v>0</v>
      </c>
      <c r="AM1395">
        <v>0</v>
      </c>
      <c r="AN1395">
        <v>0</v>
      </c>
      <c r="AO1395">
        <v>0</v>
      </c>
      <c r="AP1395">
        <v>350</v>
      </c>
      <c r="AT1395" t="str">
        <f>T("9791189084844")</f>
        <v>9791189084844</v>
      </c>
      <c r="AV1395" t="str">
        <f>T("BL 소설 e북 &gt; 현대물")</f>
        <v>BL 소설 e북 &gt; 현대물</v>
      </c>
    </row>
    <row r="1396" spans="1:49" x14ac:dyDescent="0.4">
      <c r="A1396">
        <v>2313017156</v>
      </c>
      <c r="B1396">
        <v>2313017143</v>
      </c>
      <c r="C1396" t="str">
        <f>T("[e북]그 알파 내 오메가 만들기 (외전)")</f>
        <v>[e북]그 알파 내 오메가 만들기 (외전)</v>
      </c>
      <c r="D1396" t="str">
        <f>T("2")</f>
        <v>2</v>
      </c>
      <c r="E1396" t="str">
        <f>T("주이서")</f>
        <v>주이서</v>
      </c>
      <c r="H1396" t="str">
        <f>T("도서출판 태랑")</f>
        <v>도서출판 태랑</v>
      </c>
      <c r="I1396" t="str">
        <f>T("[e북]그 알파 내 오메가 만들기")</f>
        <v>[e북]그 알파 내 오메가 만들기</v>
      </c>
      <c r="J1396">
        <v>500</v>
      </c>
      <c r="K1396">
        <v>500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500</v>
      </c>
      <c r="AH1396">
        <v>1</v>
      </c>
      <c r="AI1396">
        <v>0</v>
      </c>
      <c r="AJ1396">
        <v>0</v>
      </c>
      <c r="AK1396">
        <v>500</v>
      </c>
      <c r="AL1396">
        <v>0</v>
      </c>
      <c r="AM1396">
        <v>0</v>
      </c>
      <c r="AN1396">
        <v>0</v>
      </c>
      <c r="AO1396">
        <v>0</v>
      </c>
      <c r="AP1396">
        <v>350</v>
      </c>
      <c r="AT1396" t="str">
        <f>T("9791189084486")</f>
        <v>9791189084486</v>
      </c>
      <c r="AV1396" t="str">
        <f>T("BL 소설 e북 &gt; 현대물")</f>
        <v>BL 소설 e북 &gt; 현대물</v>
      </c>
    </row>
    <row r="1397" spans="1:49" x14ac:dyDescent="0.4">
      <c r="A1397">
        <v>2313017252</v>
      </c>
      <c r="B1397">
        <v>2313017278</v>
      </c>
      <c r="C1397" t="str">
        <f>T("신들의 알바나라 27화")</f>
        <v>신들의 알바나라 27화</v>
      </c>
      <c r="D1397" t="str">
        <f>T("27")</f>
        <v>27</v>
      </c>
      <c r="E1397" t="str">
        <f>T("갓띵작")</f>
        <v>갓띵작</v>
      </c>
      <c r="H1397" t="str">
        <f t="shared" ref="H1397:H1460" si="265">T("스토리위즈")</f>
        <v>스토리위즈</v>
      </c>
      <c r="I1397" t="str">
        <f>T("신들의 알바나라")</f>
        <v>신들의 알바나라</v>
      </c>
      <c r="J1397">
        <v>100</v>
      </c>
      <c r="K1397">
        <v>500</v>
      </c>
      <c r="L1397">
        <v>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500</v>
      </c>
      <c r="AH1397">
        <v>5</v>
      </c>
      <c r="AI1397">
        <v>0</v>
      </c>
      <c r="AJ1397">
        <v>0</v>
      </c>
      <c r="AK1397">
        <v>500</v>
      </c>
      <c r="AL1397">
        <v>0</v>
      </c>
      <c r="AM1397">
        <v>0</v>
      </c>
      <c r="AN1397">
        <v>0</v>
      </c>
      <c r="AO1397">
        <v>0</v>
      </c>
      <c r="AP1397">
        <v>350</v>
      </c>
      <c r="AT1397" t="str">
        <f>T("9791137603950")</f>
        <v>9791137603950</v>
      </c>
      <c r="AV1397" t="str">
        <f t="shared" ref="AV1397:AV1413" si="266">T("판타지 웹소설 &gt; 퓨전 판타지")</f>
        <v>판타지 웹소설 &gt; 퓨전 판타지</v>
      </c>
    </row>
    <row r="1398" spans="1:49" x14ac:dyDescent="0.4">
      <c r="A1398">
        <v>2313017252</v>
      </c>
      <c r="B1398">
        <v>2313017282</v>
      </c>
      <c r="C1398" t="str">
        <f>T("신들의 알바나라 31화")</f>
        <v>신들의 알바나라 31화</v>
      </c>
      <c r="D1398" t="str">
        <f>T("31")</f>
        <v>31</v>
      </c>
      <c r="E1398" t="str">
        <f>T("갓띵작")</f>
        <v>갓띵작</v>
      </c>
      <c r="H1398" t="str">
        <f t="shared" si="265"/>
        <v>스토리위즈</v>
      </c>
      <c r="I1398" t="str">
        <f>T("신들의 알바나라")</f>
        <v>신들의 알바나라</v>
      </c>
      <c r="J1398">
        <v>100</v>
      </c>
      <c r="K1398">
        <v>500</v>
      </c>
      <c r="L1398">
        <v>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500</v>
      </c>
      <c r="AH1398">
        <v>5</v>
      </c>
      <c r="AI1398">
        <v>0</v>
      </c>
      <c r="AJ1398">
        <v>0</v>
      </c>
      <c r="AK1398">
        <v>500</v>
      </c>
      <c r="AL1398">
        <v>0</v>
      </c>
      <c r="AM1398">
        <v>0</v>
      </c>
      <c r="AN1398">
        <v>0</v>
      </c>
      <c r="AO1398">
        <v>0</v>
      </c>
      <c r="AP1398">
        <v>350</v>
      </c>
      <c r="AT1398" t="str">
        <f>T("9791137603950")</f>
        <v>9791137603950</v>
      </c>
      <c r="AV1398" t="str">
        <f t="shared" si="266"/>
        <v>판타지 웹소설 &gt; 퓨전 판타지</v>
      </c>
    </row>
    <row r="1399" spans="1:49" x14ac:dyDescent="0.4">
      <c r="A1399">
        <v>2313008150</v>
      </c>
      <c r="B1399">
        <v>2313008176</v>
      </c>
      <c r="C1399" t="str">
        <f>T("기사가문 망나니는 10클래스 27화")</f>
        <v>기사가문 망나니는 10클래스 27화</v>
      </c>
      <c r="D1399" t="str">
        <f>T("27")</f>
        <v>27</v>
      </c>
      <c r="E1399" t="str">
        <f t="shared" ref="E1399:E1413" si="267">T("예로나")</f>
        <v>예로나</v>
      </c>
      <c r="H1399" t="str">
        <f t="shared" si="265"/>
        <v>스토리위즈</v>
      </c>
      <c r="I1399" t="str">
        <f t="shared" ref="I1399:I1413" si="268">T("기사가문 망나니는 10클래스")</f>
        <v>기사가문 망나니는 10클래스</v>
      </c>
      <c r="J1399">
        <v>100</v>
      </c>
      <c r="K1399">
        <v>400</v>
      </c>
      <c r="L1399">
        <v>4</v>
      </c>
      <c r="M1399">
        <v>0</v>
      </c>
      <c r="N1399">
        <v>100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500</v>
      </c>
      <c r="AH1399">
        <v>5</v>
      </c>
      <c r="AI1399">
        <v>0</v>
      </c>
      <c r="AJ1399">
        <v>0</v>
      </c>
      <c r="AK1399">
        <v>500</v>
      </c>
      <c r="AL1399">
        <v>0</v>
      </c>
      <c r="AM1399">
        <v>0</v>
      </c>
      <c r="AN1399">
        <v>0</v>
      </c>
      <c r="AO1399">
        <v>0</v>
      </c>
      <c r="AP1399">
        <v>350</v>
      </c>
      <c r="AT1399" t="str">
        <f t="shared" ref="AT1399:AT1413" si="269">T("9791165310370")</f>
        <v>9791165310370</v>
      </c>
      <c r="AV1399" t="str">
        <f t="shared" si="266"/>
        <v>판타지 웹소설 &gt; 퓨전 판타지</v>
      </c>
    </row>
    <row r="1400" spans="1:49" x14ac:dyDescent="0.4">
      <c r="A1400">
        <v>2313008150</v>
      </c>
      <c r="B1400">
        <v>2313008177</v>
      </c>
      <c r="C1400" t="str">
        <f>T("기사가문 망나니는 10클래스 28화")</f>
        <v>기사가문 망나니는 10클래스 28화</v>
      </c>
      <c r="D1400" t="str">
        <f>T("28")</f>
        <v>28</v>
      </c>
      <c r="E1400" t="str">
        <f t="shared" si="267"/>
        <v>예로나</v>
      </c>
      <c r="H1400" t="str">
        <f t="shared" si="265"/>
        <v>스토리위즈</v>
      </c>
      <c r="I1400" t="str">
        <f t="shared" si="268"/>
        <v>기사가문 망나니는 10클래스</v>
      </c>
      <c r="J1400">
        <v>100</v>
      </c>
      <c r="K1400">
        <v>400</v>
      </c>
      <c r="L1400">
        <v>4</v>
      </c>
      <c r="M1400">
        <v>0</v>
      </c>
      <c r="N1400">
        <v>100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500</v>
      </c>
      <c r="AH1400">
        <v>5</v>
      </c>
      <c r="AI1400">
        <v>0</v>
      </c>
      <c r="AJ1400">
        <v>0</v>
      </c>
      <c r="AK1400">
        <v>500</v>
      </c>
      <c r="AL1400">
        <v>0</v>
      </c>
      <c r="AM1400">
        <v>0</v>
      </c>
      <c r="AN1400">
        <v>0</v>
      </c>
      <c r="AO1400">
        <v>0</v>
      </c>
      <c r="AP1400">
        <v>350</v>
      </c>
      <c r="AT1400" t="str">
        <f t="shared" si="269"/>
        <v>9791165310370</v>
      </c>
      <c r="AV1400" t="str">
        <f t="shared" si="266"/>
        <v>판타지 웹소설 &gt; 퓨전 판타지</v>
      </c>
    </row>
    <row r="1401" spans="1:49" x14ac:dyDescent="0.4">
      <c r="A1401">
        <v>2313008150</v>
      </c>
      <c r="B1401">
        <v>2313008178</v>
      </c>
      <c r="C1401" t="str">
        <f>T("기사가문 망나니는 10클래스 29화")</f>
        <v>기사가문 망나니는 10클래스 29화</v>
      </c>
      <c r="D1401" t="str">
        <f>T("29")</f>
        <v>29</v>
      </c>
      <c r="E1401" t="str">
        <f t="shared" si="267"/>
        <v>예로나</v>
      </c>
      <c r="H1401" t="str">
        <f t="shared" si="265"/>
        <v>스토리위즈</v>
      </c>
      <c r="I1401" t="str">
        <f t="shared" si="268"/>
        <v>기사가문 망나니는 10클래스</v>
      </c>
      <c r="J1401">
        <v>100</v>
      </c>
      <c r="K1401">
        <v>400</v>
      </c>
      <c r="L1401">
        <v>4</v>
      </c>
      <c r="M1401">
        <v>0</v>
      </c>
      <c r="N1401">
        <v>100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500</v>
      </c>
      <c r="AH1401">
        <v>5</v>
      </c>
      <c r="AI1401">
        <v>0</v>
      </c>
      <c r="AJ1401">
        <v>0</v>
      </c>
      <c r="AK1401">
        <v>500</v>
      </c>
      <c r="AL1401">
        <v>0</v>
      </c>
      <c r="AM1401">
        <v>0</v>
      </c>
      <c r="AN1401">
        <v>0</v>
      </c>
      <c r="AO1401">
        <v>0</v>
      </c>
      <c r="AP1401">
        <v>350</v>
      </c>
      <c r="AT1401" t="str">
        <f t="shared" si="269"/>
        <v>9791165310370</v>
      </c>
      <c r="AV1401" t="str">
        <f t="shared" si="266"/>
        <v>판타지 웹소설 &gt; 퓨전 판타지</v>
      </c>
    </row>
    <row r="1402" spans="1:49" x14ac:dyDescent="0.4">
      <c r="A1402">
        <v>2313008150</v>
      </c>
      <c r="B1402">
        <v>2313008179</v>
      </c>
      <c r="C1402" t="str">
        <f>T("기사가문 망나니는 10클래스 30화")</f>
        <v>기사가문 망나니는 10클래스 30화</v>
      </c>
      <c r="D1402" t="str">
        <f>T("30")</f>
        <v>30</v>
      </c>
      <c r="E1402" t="str">
        <f t="shared" si="267"/>
        <v>예로나</v>
      </c>
      <c r="H1402" t="str">
        <f t="shared" si="265"/>
        <v>스토리위즈</v>
      </c>
      <c r="I1402" t="str">
        <f t="shared" si="268"/>
        <v>기사가문 망나니는 10클래스</v>
      </c>
      <c r="J1402">
        <v>100</v>
      </c>
      <c r="K1402">
        <v>400</v>
      </c>
      <c r="L1402">
        <v>4</v>
      </c>
      <c r="M1402">
        <v>0</v>
      </c>
      <c r="N1402">
        <v>100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500</v>
      </c>
      <c r="AH1402">
        <v>5</v>
      </c>
      <c r="AI1402">
        <v>0</v>
      </c>
      <c r="AJ1402">
        <v>0</v>
      </c>
      <c r="AK1402">
        <v>500</v>
      </c>
      <c r="AL1402">
        <v>0</v>
      </c>
      <c r="AM1402">
        <v>0</v>
      </c>
      <c r="AN1402">
        <v>0</v>
      </c>
      <c r="AO1402">
        <v>0</v>
      </c>
      <c r="AP1402">
        <v>350</v>
      </c>
      <c r="AT1402" t="str">
        <f t="shared" si="269"/>
        <v>9791165310370</v>
      </c>
      <c r="AV1402" t="str">
        <f t="shared" si="266"/>
        <v>판타지 웹소설 &gt; 퓨전 판타지</v>
      </c>
    </row>
    <row r="1403" spans="1:49" x14ac:dyDescent="0.4">
      <c r="A1403">
        <v>2313008150</v>
      </c>
      <c r="B1403">
        <v>2313008180</v>
      </c>
      <c r="C1403" t="str">
        <f>T("기사가문 망나니는 10클래스 31화")</f>
        <v>기사가문 망나니는 10클래스 31화</v>
      </c>
      <c r="D1403" t="str">
        <f>T("31")</f>
        <v>31</v>
      </c>
      <c r="E1403" t="str">
        <f t="shared" si="267"/>
        <v>예로나</v>
      </c>
      <c r="H1403" t="str">
        <f t="shared" si="265"/>
        <v>스토리위즈</v>
      </c>
      <c r="I1403" t="str">
        <f t="shared" si="268"/>
        <v>기사가문 망나니는 10클래스</v>
      </c>
      <c r="J1403">
        <v>100</v>
      </c>
      <c r="K1403">
        <v>400</v>
      </c>
      <c r="L1403">
        <v>4</v>
      </c>
      <c r="M1403">
        <v>0</v>
      </c>
      <c r="N1403">
        <v>100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500</v>
      </c>
      <c r="AH1403">
        <v>5</v>
      </c>
      <c r="AI1403">
        <v>0</v>
      </c>
      <c r="AJ1403">
        <v>0</v>
      </c>
      <c r="AK1403">
        <v>500</v>
      </c>
      <c r="AL1403">
        <v>0</v>
      </c>
      <c r="AM1403">
        <v>0</v>
      </c>
      <c r="AN1403">
        <v>0</v>
      </c>
      <c r="AO1403">
        <v>0</v>
      </c>
      <c r="AP1403">
        <v>350</v>
      </c>
      <c r="AT1403" t="str">
        <f t="shared" si="269"/>
        <v>9791165310370</v>
      </c>
      <c r="AV1403" t="str">
        <f t="shared" si="266"/>
        <v>판타지 웹소설 &gt; 퓨전 판타지</v>
      </c>
    </row>
    <row r="1404" spans="1:49" x14ac:dyDescent="0.4">
      <c r="A1404">
        <v>2313008150</v>
      </c>
      <c r="B1404">
        <v>2313008190</v>
      </c>
      <c r="C1404" t="str">
        <f>T("기사가문 망나니는 10클래스 41화")</f>
        <v>기사가문 망나니는 10클래스 41화</v>
      </c>
      <c r="D1404" t="str">
        <f>T("41")</f>
        <v>41</v>
      </c>
      <c r="E1404" t="str">
        <f t="shared" si="267"/>
        <v>예로나</v>
      </c>
      <c r="H1404" t="str">
        <f t="shared" si="265"/>
        <v>스토리위즈</v>
      </c>
      <c r="I1404" t="str">
        <f t="shared" si="268"/>
        <v>기사가문 망나니는 10클래스</v>
      </c>
      <c r="J1404">
        <v>100</v>
      </c>
      <c r="K1404">
        <v>400</v>
      </c>
      <c r="L1404">
        <v>4</v>
      </c>
      <c r="M1404">
        <v>0</v>
      </c>
      <c r="N1404">
        <v>100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500</v>
      </c>
      <c r="AH1404">
        <v>5</v>
      </c>
      <c r="AI1404">
        <v>0</v>
      </c>
      <c r="AJ1404">
        <v>0</v>
      </c>
      <c r="AK1404">
        <v>500</v>
      </c>
      <c r="AL1404">
        <v>0</v>
      </c>
      <c r="AM1404">
        <v>0</v>
      </c>
      <c r="AN1404">
        <v>0</v>
      </c>
      <c r="AO1404">
        <v>0</v>
      </c>
      <c r="AP1404">
        <v>350</v>
      </c>
      <c r="AT1404" t="str">
        <f t="shared" si="269"/>
        <v>9791165310370</v>
      </c>
      <c r="AV1404" t="str">
        <f t="shared" si="266"/>
        <v>판타지 웹소설 &gt; 퓨전 판타지</v>
      </c>
    </row>
    <row r="1405" spans="1:49" x14ac:dyDescent="0.4">
      <c r="A1405">
        <v>2313008150</v>
      </c>
      <c r="B1405">
        <v>2313008191</v>
      </c>
      <c r="C1405" t="str">
        <f>T("기사가문 망나니는 10클래스 42화")</f>
        <v>기사가문 망나니는 10클래스 42화</v>
      </c>
      <c r="D1405" t="str">
        <f>T("42")</f>
        <v>42</v>
      </c>
      <c r="E1405" t="str">
        <f t="shared" si="267"/>
        <v>예로나</v>
      </c>
      <c r="H1405" t="str">
        <f t="shared" si="265"/>
        <v>스토리위즈</v>
      </c>
      <c r="I1405" t="str">
        <f t="shared" si="268"/>
        <v>기사가문 망나니는 10클래스</v>
      </c>
      <c r="J1405">
        <v>100</v>
      </c>
      <c r="K1405">
        <v>400</v>
      </c>
      <c r="L1405">
        <v>4</v>
      </c>
      <c r="M1405">
        <v>0</v>
      </c>
      <c r="N1405">
        <v>100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500</v>
      </c>
      <c r="AH1405">
        <v>5</v>
      </c>
      <c r="AI1405">
        <v>0</v>
      </c>
      <c r="AJ1405">
        <v>0</v>
      </c>
      <c r="AK1405">
        <v>500</v>
      </c>
      <c r="AL1405">
        <v>0</v>
      </c>
      <c r="AM1405">
        <v>0</v>
      </c>
      <c r="AN1405">
        <v>0</v>
      </c>
      <c r="AO1405">
        <v>0</v>
      </c>
      <c r="AP1405">
        <v>350</v>
      </c>
      <c r="AT1405" t="str">
        <f t="shared" si="269"/>
        <v>9791165310370</v>
      </c>
      <c r="AV1405" t="str">
        <f t="shared" si="266"/>
        <v>판타지 웹소설 &gt; 퓨전 판타지</v>
      </c>
    </row>
    <row r="1406" spans="1:49" x14ac:dyDescent="0.4">
      <c r="A1406">
        <v>2313008150</v>
      </c>
      <c r="B1406">
        <v>2313008192</v>
      </c>
      <c r="C1406" t="str">
        <f>T("기사가문 망나니는 10클래스 43화")</f>
        <v>기사가문 망나니는 10클래스 43화</v>
      </c>
      <c r="D1406" t="str">
        <f>T("43")</f>
        <v>43</v>
      </c>
      <c r="E1406" t="str">
        <f t="shared" si="267"/>
        <v>예로나</v>
      </c>
      <c r="H1406" t="str">
        <f t="shared" si="265"/>
        <v>스토리위즈</v>
      </c>
      <c r="I1406" t="str">
        <f t="shared" si="268"/>
        <v>기사가문 망나니는 10클래스</v>
      </c>
      <c r="J1406">
        <v>100</v>
      </c>
      <c r="K1406">
        <v>400</v>
      </c>
      <c r="L1406">
        <v>4</v>
      </c>
      <c r="M1406">
        <v>0</v>
      </c>
      <c r="N1406">
        <v>100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500</v>
      </c>
      <c r="AH1406">
        <v>5</v>
      </c>
      <c r="AI1406">
        <v>0</v>
      </c>
      <c r="AJ1406">
        <v>0</v>
      </c>
      <c r="AK1406">
        <v>500</v>
      </c>
      <c r="AL1406">
        <v>0</v>
      </c>
      <c r="AM1406">
        <v>0</v>
      </c>
      <c r="AN1406">
        <v>0</v>
      </c>
      <c r="AO1406">
        <v>0</v>
      </c>
      <c r="AP1406">
        <v>350</v>
      </c>
      <c r="AT1406" t="str">
        <f t="shared" si="269"/>
        <v>9791165310370</v>
      </c>
      <c r="AV1406" t="str">
        <f t="shared" si="266"/>
        <v>판타지 웹소설 &gt; 퓨전 판타지</v>
      </c>
    </row>
    <row r="1407" spans="1:49" x14ac:dyDescent="0.4">
      <c r="A1407">
        <v>2313008150</v>
      </c>
      <c r="B1407">
        <v>2313008193</v>
      </c>
      <c r="C1407" t="str">
        <f>T("기사가문 망나니는 10클래스 44화")</f>
        <v>기사가문 망나니는 10클래스 44화</v>
      </c>
      <c r="D1407" t="str">
        <f>T("44")</f>
        <v>44</v>
      </c>
      <c r="E1407" t="str">
        <f t="shared" si="267"/>
        <v>예로나</v>
      </c>
      <c r="H1407" t="str">
        <f t="shared" si="265"/>
        <v>스토리위즈</v>
      </c>
      <c r="I1407" t="str">
        <f t="shared" si="268"/>
        <v>기사가문 망나니는 10클래스</v>
      </c>
      <c r="J1407">
        <v>100</v>
      </c>
      <c r="K1407">
        <v>400</v>
      </c>
      <c r="L1407">
        <v>4</v>
      </c>
      <c r="M1407">
        <v>0</v>
      </c>
      <c r="N1407">
        <v>100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500</v>
      </c>
      <c r="AH1407">
        <v>5</v>
      </c>
      <c r="AI1407">
        <v>0</v>
      </c>
      <c r="AJ1407">
        <v>0</v>
      </c>
      <c r="AK1407">
        <v>500</v>
      </c>
      <c r="AL1407">
        <v>0</v>
      </c>
      <c r="AM1407">
        <v>0</v>
      </c>
      <c r="AN1407">
        <v>0</v>
      </c>
      <c r="AO1407">
        <v>0</v>
      </c>
      <c r="AP1407">
        <v>350</v>
      </c>
      <c r="AT1407" t="str">
        <f t="shared" si="269"/>
        <v>9791165310370</v>
      </c>
      <c r="AV1407" t="str">
        <f t="shared" si="266"/>
        <v>판타지 웹소설 &gt; 퓨전 판타지</v>
      </c>
    </row>
    <row r="1408" spans="1:49" x14ac:dyDescent="0.4">
      <c r="A1408">
        <v>2313008150</v>
      </c>
      <c r="B1408">
        <v>2313008194</v>
      </c>
      <c r="C1408" t="str">
        <f>T("기사가문 망나니는 10클래스 45화")</f>
        <v>기사가문 망나니는 10클래스 45화</v>
      </c>
      <c r="D1408" t="str">
        <f>T("45")</f>
        <v>45</v>
      </c>
      <c r="E1408" t="str">
        <f t="shared" si="267"/>
        <v>예로나</v>
      </c>
      <c r="H1408" t="str">
        <f t="shared" si="265"/>
        <v>스토리위즈</v>
      </c>
      <c r="I1408" t="str">
        <f t="shared" si="268"/>
        <v>기사가문 망나니는 10클래스</v>
      </c>
      <c r="J1408">
        <v>100</v>
      </c>
      <c r="K1408">
        <v>400</v>
      </c>
      <c r="L1408">
        <v>4</v>
      </c>
      <c r="M1408">
        <v>0</v>
      </c>
      <c r="N1408">
        <v>100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500</v>
      </c>
      <c r="AH1408">
        <v>5</v>
      </c>
      <c r="AI1408">
        <v>0</v>
      </c>
      <c r="AJ1408">
        <v>0</v>
      </c>
      <c r="AK1408">
        <v>500</v>
      </c>
      <c r="AL1408">
        <v>0</v>
      </c>
      <c r="AM1408">
        <v>0</v>
      </c>
      <c r="AN1408">
        <v>0</v>
      </c>
      <c r="AO1408">
        <v>0</v>
      </c>
      <c r="AP1408">
        <v>350</v>
      </c>
      <c r="AT1408" t="str">
        <f t="shared" si="269"/>
        <v>9791165310370</v>
      </c>
      <c r="AV1408" t="str">
        <f t="shared" si="266"/>
        <v>판타지 웹소설 &gt; 퓨전 판타지</v>
      </c>
    </row>
    <row r="1409" spans="1:48" x14ac:dyDescent="0.4">
      <c r="A1409">
        <v>2313008150</v>
      </c>
      <c r="B1409">
        <v>2313008195</v>
      </c>
      <c r="C1409" t="str">
        <f>T("기사가문 망나니는 10클래스 46화")</f>
        <v>기사가문 망나니는 10클래스 46화</v>
      </c>
      <c r="D1409" t="str">
        <f>T("46")</f>
        <v>46</v>
      </c>
      <c r="E1409" t="str">
        <f t="shared" si="267"/>
        <v>예로나</v>
      </c>
      <c r="H1409" t="str">
        <f t="shared" si="265"/>
        <v>스토리위즈</v>
      </c>
      <c r="I1409" t="str">
        <f t="shared" si="268"/>
        <v>기사가문 망나니는 10클래스</v>
      </c>
      <c r="J1409">
        <v>100</v>
      </c>
      <c r="K1409">
        <v>400</v>
      </c>
      <c r="L1409">
        <v>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400</v>
      </c>
      <c r="AH1409">
        <v>4</v>
      </c>
      <c r="AI1409">
        <v>0</v>
      </c>
      <c r="AJ1409">
        <v>0</v>
      </c>
      <c r="AK1409">
        <v>400</v>
      </c>
      <c r="AL1409">
        <v>0</v>
      </c>
      <c r="AM1409">
        <v>0</v>
      </c>
      <c r="AN1409">
        <v>0</v>
      </c>
      <c r="AO1409">
        <v>0</v>
      </c>
      <c r="AP1409">
        <v>280</v>
      </c>
      <c r="AT1409" t="str">
        <f t="shared" si="269"/>
        <v>9791165310370</v>
      </c>
      <c r="AV1409" t="str">
        <f t="shared" si="266"/>
        <v>판타지 웹소설 &gt; 퓨전 판타지</v>
      </c>
    </row>
    <row r="1410" spans="1:48" x14ac:dyDescent="0.4">
      <c r="A1410">
        <v>2313008150</v>
      </c>
      <c r="B1410">
        <v>2313008196</v>
      </c>
      <c r="C1410" t="str">
        <f>T("기사가문 망나니는 10클래스 47화")</f>
        <v>기사가문 망나니는 10클래스 47화</v>
      </c>
      <c r="D1410" t="str">
        <f>T("47")</f>
        <v>47</v>
      </c>
      <c r="E1410" t="str">
        <f t="shared" si="267"/>
        <v>예로나</v>
      </c>
      <c r="H1410" t="str">
        <f t="shared" si="265"/>
        <v>스토리위즈</v>
      </c>
      <c r="I1410" t="str">
        <f t="shared" si="268"/>
        <v>기사가문 망나니는 10클래스</v>
      </c>
      <c r="J1410">
        <v>100</v>
      </c>
      <c r="K1410">
        <v>400</v>
      </c>
      <c r="L1410">
        <v>4</v>
      </c>
      <c r="M1410">
        <v>0</v>
      </c>
      <c r="N1410">
        <v>100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500</v>
      </c>
      <c r="AH1410">
        <v>5</v>
      </c>
      <c r="AI1410">
        <v>0</v>
      </c>
      <c r="AJ1410">
        <v>0</v>
      </c>
      <c r="AK1410">
        <v>500</v>
      </c>
      <c r="AL1410">
        <v>0</v>
      </c>
      <c r="AM1410">
        <v>0</v>
      </c>
      <c r="AN1410">
        <v>0</v>
      </c>
      <c r="AO1410">
        <v>0</v>
      </c>
      <c r="AP1410">
        <v>350</v>
      </c>
      <c r="AT1410" t="str">
        <f t="shared" si="269"/>
        <v>9791165310370</v>
      </c>
      <c r="AV1410" t="str">
        <f t="shared" si="266"/>
        <v>판타지 웹소설 &gt; 퓨전 판타지</v>
      </c>
    </row>
    <row r="1411" spans="1:48" x14ac:dyDescent="0.4">
      <c r="A1411">
        <v>2313008150</v>
      </c>
      <c r="B1411">
        <v>2313008197</v>
      </c>
      <c r="C1411" t="str">
        <f>T("기사가문 망나니는 10클래스 48화")</f>
        <v>기사가문 망나니는 10클래스 48화</v>
      </c>
      <c r="D1411" t="str">
        <f>T("48")</f>
        <v>48</v>
      </c>
      <c r="E1411" t="str">
        <f t="shared" si="267"/>
        <v>예로나</v>
      </c>
      <c r="H1411" t="str">
        <f t="shared" si="265"/>
        <v>스토리위즈</v>
      </c>
      <c r="I1411" t="str">
        <f t="shared" si="268"/>
        <v>기사가문 망나니는 10클래스</v>
      </c>
      <c r="J1411">
        <v>100</v>
      </c>
      <c r="K1411">
        <v>400</v>
      </c>
      <c r="L1411">
        <v>4</v>
      </c>
      <c r="M1411">
        <v>0</v>
      </c>
      <c r="N1411">
        <v>100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500</v>
      </c>
      <c r="AH1411">
        <v>5</v>
      </c>
      <c r="AI1411">
        <v>0</v>
      </c>
      <c r="AJ1411">
        <v>0</v>
      </c>
      <c r="AK1411">
        <v>500</v>
      </c>
      <c r="AL1411">
        <v>0</v>
      </c>
      <c r="AM1411">
        <v>0</v>
      </c>
      <c r="AN1411">
        <v>0</v>
      </c>
      <c r="AO1411">
        <v>0</v>
      </c>
      <c r="AP1411">
        <v>350</v>
      </c>
      <c r="AT1411" t="str">
        <f t="shared" si="269"/>
        <v>9791165310370</v>
      </c>
      <c r="AV1411" t="str">
        <f t="shared" si="266"/>
        <v>판타지 웹소설 &gt; 퓨전 판타지</v>
      </c>
    </row>
    <row r="1412" spans="1:48" x14ac:dyDescent="0.4">
      <c r="A1412">
        <v>2313008150</v>
      </c>
      <c r="B1412">
        <v>2313008198</v>
      </c>
      <c r="C1412" t="str">
        <f>T("기사가문 망나니는 10클래스 49화")</f>
        <v>기사가문 망나니는 10클래스 49화</v>
      </c>
      <c r="D1412" t="str">
        <f>T("49")</f>
        <v>49</v>
      </c>
      <c r="E1412" t="str">
        <f t="shared" si="267"/>
        <v>예로나</v>
      </c>
      <c r="H1412" t="str">
        <f t="shared" si="265"/>
        <v>스토리위즈</v>
      </c>
      <c r="I1412" t="str">
        <f t="shared" si="268"/>
        <v>기사가문 망나니는 10클래스</v>
      </c>
      <c r="J1412">
        <v>100</v>
      </c>
      <c r="K1412">
        <v>400</v>
      </c>
      <c r="L1412">
        <v>4</v>
      </c>
      <c r="M1412">
        <v>0</v>
      </c>
      <c r="N1412">
        <v>100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500</v>
      </c>
      <c r="AH1412">
        <v>5</v>
      </c>
      <c r="AI1412">
        <v>0</v>
      </c>
      <c r="AJ1412">
        <v>0</v>
      </c>
      <c r="AK1412">
        <v>500</v>
      </c>
      <c r="AL1412">
        <v>0</v>
      </c>
      <c r="AM1412">
        <v>0</v>
      </c>
      <c r="AN1412">
        <v>0</v>
      </c>
      <c r="AO1412">
        <v>0</v>
      </c>
      <c r="AP1412">
        <v>350</v>
      </c>
      <c r="AT1412" t="str">
        <f t="shared" si="269"/>
        <v>9791165310370</v>
      </c>
      <c r="AV1412" t="str">
        <f t="shared" si="266"/>
        <v>판타지 웹소설 &gt; 퓨전 판타지</v>
      </c>
    </row>
    <row r="1413" spans="1:48" x14ac:dyDescent="0.4">
      <c r="A1413">
        <v>2313008150</v>
      </c>
      <c r="B1413">
        <v>2313008199</v>
      </c>
      <c r="C1413" t="str">
        <f>T("기사가문 망나니는 10클래스 50화")</f>
        <v>기사가문 망나니는 10클래스 50화</v>
      </c>
      <c r="D1413" t="str">
        <f>T("50")</f>
        <v>50</v>
      </c>
      <c r="E1413" t="str">
        <f t="shared" si="267"/>
        <v>예로나</v>
      </c>
      <c r="H1413" t="str">
        <f t="shared" si="265"/>
        <v>스토리위즈</v>
      </c>
      <c r="I1413" t="str">
        <f t="shared" si="268"/>
        <v>기사가문 망나니는 10클래스</v>
      </c>
      <c r="J1413">
        <v>100</v>
      </c>
      <c r="K1413">
        <v>400</v>
      </c>
      <c r="L1413">
        <v>4</v>
      </c>
      <c r="M1413">
        <v>0</v>
      </c>
      <c r="N1413">
        <v>100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500</v>
      </c>
      <c r="AH1413">
        <v>5</v>
      </c>
      <c r="AI1413">
        <v>0</v>
      </c>
      <c r="AJ1413">
        <v>0</v>
      </c>
      <c r="AK1413">
        <v>500</v>
      </c>
      <c r="AL1413">
        <v>0</v>
      </c>
      <c r="AM1413">
        <v>0</v>
      </c>
      <c r="AN1413">
        <v>0</v>
      </c>
      <c r="AO1413">
        <v>0</v>
      </c>
      <c r="AP1413">
        <v>350</v>
      </c>
      <c r="AT1413" t="str">
        <f t="shared" si="269"/>
        <v>9791165310370</v>
      </c>
      <c r="AV1413" t="str">
        <f t="shared" si="266"/>
        <v>판타지 웹소설 &gt; 퓨전 판타지</v>
      </c>
    </row>
    <row r="1414" spans="1:48" x14ac:dyDescent="0.4">
      <c r="A1414">
        <v>2313010290</v>
      </c>
      <c r="B1414">
        <v>2313010293</v>
      </c>
      <c r="C1414" t="str">
        <f>T("아저씨, 내 기분 왜 이래요? 4화")</f>
        <v>아저씨, 내 기분 왜 이래요? 4화</v>
      </c>
      <c r="D1414" t="str">
        <f>T("4")</f>
        <v>4</v>
      </c>
      <c r="E1414" t="str">
        <f>T("Livingston")</f>
        <v>Livingston</v>
      </c>
      <c r="H1414" t="str">
        <f t="shared" si="265"/>
        <v>스토리위즈</v>
      </c>
      <c r="I1414" t="str">
        <f>T("아저씨, 내 기분 왜 이래요?")</f>
        <v>아저씨, 내 기분 왜 이래요?</v>
      </c>
      <c r="J1414">
        <v>100</v>
      </c>
      <c r="K1414">
        <v>400</v>
      </c>
      <c r="L1414">
        <v>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400</v>
      </c>
      <c r="AH1414">
        <v>4</v>
      </c>
      <c r="AI1414">
        <v>0</v>
      </c>
      <c r="AJ1414">
        <v>0</v>
      </c>
      <c r="AK1414">
        <v>400</v>
      </c>
      <c r="AL1414">
        <v>0</v>
      </c>
      <c r="AM1414">
        <v>0</v>
      </c>
      <c r="AN1414">
        <v>0</v>
      </c>
      <c r="AO1414">
        <v>0</v>
      </c>
      <c r="AP1414">
        <v>280</v>
      </c>
      <c r="AT1414" t="str">
        <f>T("9791166069482")</f>
        <v>9791166069482</v>
      </c>
      <c r="AV1414" t="str">
        <f>T("로맨스 웹소설 &gt; 현대물")</f>
        <v>로맨스 웹소설 &gt; 현대물</v>
      </c>
    </row>
    <row r="1415" spans="1:48" x14ac:dyDescent="0.4">
      <c r="A1415">
        <v>2313010290</v>
      </c>
      <c r="B1415">
        <v>2313010294</v>
      </c>
      <c r="C1415" t="str">
        <f>T("아저씨, 내 기분 왜 이래요? 5화")</f>
        <v>아저씨, 내 기분 왜 이래요? 5화</v>
      </c>
      <c r="D1415" t="str">
        <f>T("5")</f>
        <v>5</v>
      </c>
      <c r="E1415" t="str">
        <f>T("Livingston")</f>
        <v>Livingston</v>
      </c>
      <c r="H1415" t="str">
        <f t="shared" si="265"/>
        <v>스토리위즈</v>
      </c>
      <c r="I1415" t="str">
        <f>T("아저씨, 내 기분 왜 이래요?")</f>
        <v>아저씨, 내 기분 왜 이래요?</v>
      </c>
      <c r="J1415">
        <v>100</v>
      </c>
      <c r="K1415">
        <v>400</v>
      </c>
      <c r="L1415">
        <v>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400</v>
      </c>
      <c r="AH1415">
        <v>4</v>
      </c>
      <c r="AI1415">
        <v>0</v>
      </c>
      <c r="AJ1415">
        <v>0</v>
      </c>
      <c r="AK1415">
        <v>400</v>
      </c>
      <c r="AL1415">
        <v>0</v>
      </c>
      <c r="AM1415">
        <v>0</v>
      </c>
      <c r="AN1415">
        <v>0</v>
      </c>
      <c r="AO1415">
        <v>0</v>
      </c>
      <c r="AP1415">
        <v>280</v>
      </c>
      <c r="AT1415" t="str">
        <f>T("9791166069482")</f>
        <v>9791166069482</v>
      </c>
      <c r="AV1415" t="str">
        <f>T("로맨스 웹소설 &gt; 현대물")</f>
        <v>로맨스 웹소설 &gt; 현대물</v>
      </c>
    </row>
    <row r="1416" spans="1:48" x14ac:dyDescent="0.4">
      <c r="A1416">
        <v>2313010290</v>
      </c>
      <c r="B1416">
        <v>2313010295</v>
      </c>
      <c r="C1416" t="str">
        <f>T("아저씨, 내 기분 왜 이래요? 6화")</f>
        <v>아저씨, 내 기분 왜 이래요? 6화</v>
      </c>
      <c r="D1416" t="str">
        <f>T("6")</f>
        <v>6</v>
      </c>
      <c r="E1416" t="str">
        <f>T("Livingston")</f>
        <v>Livingston</v>
      </c>
      <c r="H1416" t="str">
        <f t="shared" si="265"/>
        <v>스토리위즈</v>
      </c>
      <c r="I1416" t="str">
        <f>T("아저씨, 내 기분 왜 이래요?")</f>
        <v>아저씨, 내 기분 왜 이래요?</v>
      </c>
      <c r="J1416">
        <v>100</v>
      </c>
      <c r="K1416">
        <v>400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400</v>
      </c>
      <c r="AH1416">
        <v>4</v>
      </c>
      <c r="AI1416">
        <v>0</v>
      </c>
      <c r="AJ1416">
        <v>0</v>
      </c>
      <c r="AK1416">
        <v>400</v>
      </c>
      <c r="AL1416">
        <v>0</v>
      </c>
      <c r="AM1416">
        <v>0</v>
      </c>
      <c r="AN1416">
        <v>0</v>
      </c>
      <c r="AO1416">
        <v>0</v>
      </c>
      <c r="AP1416">
        <v>280</v>
      </c>
      <c r="AT1416" t="str">
        <f>T("9791166069482")</f>
        <v>9791166069482</v>
      </c>
      <c r="AV1416" t="str">
        <f>T("로맨스 웹소설 &gt; 현대물")</f>
        <v>로맨스 웹소설 &gt; 현대물</v>
      </c>
    </row>
    <row r="1417" spans="1:48" x14ac:dyDescent="0.4">
      <c r="A1417">
        <v>2313011400</v>
      </c>
      <c r="B1417">
        <v>2313011426</v>
      </c>
      <c r="C1417" t="str">
        <f>T("최종 보스 2권 5화")</f>
        <v>최종 보스 2권 5화</v>
      </c>
      <c r="D1417" t="str">
        <f>T("27")</f>
        <v>27</v>
      </c>
      <c r="E1417" t="str">
        <f t="shared" ref="E1417:E1480" si="270">T("무장")</f>
        <v>무장</v>
      </c>
      <c r="H1417" t="str">
        <f t="shared" si="265"/>
        <v>스토리위즈</v>
      </c>
      <c r="I1417" t="str">
        <f t="shared" ref="I1417:I1443" si="271">T("최종 보스 : 빛을 향해 달리는 그림자")</f>
        <v>최종 보스 : 빛을 향해 달리는 그림자</v>
      </c>
      <c r="J1417">
        <v>100</v>
      </c>
      <c r="K1417">
        <v>400</v>
      </c>
      <c r="L1417">
        <v>4</v>
      </c>
      <c r="M1417">
        <v>0</v>
      </c>
      <c r="N1417">
        <v>100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500</v>
      </c>
      <c r="AH1417">
        <v>5</v>
      </c>
      <c r="AI1417">
        <v>0</v>
      </c>
      <c r="AJ1417">
        <v>0</v>
      </c>
      <c r="AK1417">
        <v>500</v>
      </c>
      <c r="AL1417">
        <v>0</v>
      </c>
      <c r="AM1417">
        <v>0</v>
      </c>
      <c r="AN1417">
        <v>0</v>
      </c>
      <c r="AO1417">
        <v>0</v>
      </c>
      <c r="AP1417">
        <v>350</v>
      </c>
      <c r="AT1417" t="str">
        <f t="shared" ref="AT1417:AT1443" si="272">T("9791166067563")</f>
        <v>9791166067563</v>
      </c>
      <c r="AV1417" t="str">
        <f t="shared" ref="AV1417:AV1480" si="273">T("판타지 웹소설 &gt; 현대 판타지")</f>
        <v>판타지 웹소설 &gt; 현대 판타지</v>
      </c>
    </row>
    <row r="1418" spans="1:48" x14ac:dyDescent="0.4">
      <c r="A1418">
        <v>2313011400</v>
      </c>
      <c r="B1418">
        <v>2313011445</v>
      </c>
      <c r="C1418" t="str">
        <f>T("최종 보스 3권 1화")</f>
        <v>최종 보스 3권 1화</v>
      </c>
      <c r="D1418" t="str">
        <f>T("46")</f>
        <v>46</v>
      </c>
      <c r="E1418" t="str">
        <f t="shared" si="270"/>
        <v>무장</v>
      </c>
      <c r="H1418" t="str">
        <f t="shared" si="265"/>
        <v>스토리위즈</v>
      </c>
      <c r="I1418" t="str">
        <f t="shared" si="271"/>
        <v>최종 보스 : 빛을 향해 달리는 그림자</v>
      </c>
      <c r="J1418">
        <v>100</v>
      </c>
      <c r="K1418">
        <v>400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400</v>
      </c>
      <c r="AH1418">
        <v>4</v>
      </c>
      <c r="AI1418">
        <v>0</v>
      </c>
      <c r="AJ1418">
        <v>0</v>
      </c>
      <c r="AK1418">
        <v>400</v>
      </c>
      <c r="AL1418">
        <v>0</v>
      </c>
      <c r="AM1418">
        <v>0</v>
      </c>
      <c r="AN1418">
        <v>0</v>
      </c>
      <c r="AO1418">
        <v>0</v>
      </c>
      <c r="AP1418">
        <v>280</v>
      </c>
      <c r="AT1418" t="str">
        <f t="shared" si="272"/>
        <v>9791166067563</v>
      </c>
      <c r="AV1418" t="str">
        <f t="shared" si="273"/>
        <v>판타지 웹소설 &gt; 현대 판타지</v>
      </c>
    </row>
    <row r="1419" spans="1:48" x14ac:dyDescent="0.4">
      <c r="A1419">
        <v>2313011400</v>
      </c>
      <c r="B1419">
        <v>2313011451</v>
      </c>
      <c r="C1419" t="str">
        <f>T("최종 보스 3권 7화")</f>
        <v>최종 보스 3권 7화</v>
      </c>
      <c r="D1419" t="str">
        <f>T("52")</f>
        <v>52</v>
      </c>
      <c r="E1419" t="str">
        <f t="shared" si="270"/>
        <v>무장</v>
      </c>
      <c r="H1419" t="str">
        <f t="shared" si="265"/>
        <v>스토리위즈</v>
      </c>
      <c r="I1419" t="str">
        <f t="shared" si="271"/>
        <v>최종 보스 : 빛을 향해 달리는 그림자</v>
      </c>
      <c r="J1419">
        <v>100</v>
      </c>
      <c r="K1419">
        <v>400</v>
      </c>
      <c r="L1419">
        <v>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400</v>
      </c>
      <c r="AH1419">
        <v>4</v>
      </c>
      <c r="AI1419">
        <v>0</v>
      </c>
      <c r="AJ1419">
        <v>0</v>
      </c>
      <c r="AK1419">
        <v>400</v>
      </c>
      <c r="AL1419">
        <v>0</v>
      </c>
      <c r="AM1419">
        <v>0</v>
      </c>
      <c r="AN1419">
        <v>0</v>
      </c>
      <c r="AO1419">
        <v>0</v>
      </c>
      <c r="AP1419">
        <v>280</v>
      </c>
      <c r="AT1419" t="str">
        <f t="shared" si="272"/>
        <v>9791166067563</v>
      </c>
      <c r="AV1419" t="str">
        <f t="shared" si="273"/>
        <v>판타지 웹소설 &gt; 현대 판타지</v>
      </c>
    </row>
    <row r="1420" spans="1:48" x14ac:dyDescent="0.4">
      <c r="A1420">
        <v>2313011400</v>
      </c>
      <c r="B1420">
        <v>2313011452</v>
      </c>
      <c r="C1420" t="str">
        <f>T("최종 보스 3권 8화")</f>
        <v>최종 보스 3권 8화</v>
      </c>
      <c r="D1420" t="str">
        <f>T("53")</f>
        <v>53</v>
      </c>
      <c r="E1420" t="str">
        <f t="shared" si="270"/>
        <v>무장</v>
      </c>
      <c r="H1420" t="str">
        <f t="shared" si="265"/>
        <v>스토리위즈</v>
      </c>
      <c r="I1420" t="str">
        <f t="shared" si="271"/>
        <v>최종 보스 : 빛을 향해 달리는 그림자</v>
      </c>
      <c r="J1420">
        <v>100</v>
      </c>
      <c r="K1420">
        <v>400</v>
      </c>
      <c r="L1420">
        <v>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400</v>
      </c>
      <c r="AH1420">
        <v>4</v>
      </c>
      <c r="AI1420">
        <v>0</v>
      </c>
      <c r="AJ1420">
        <v>0</v>
      </c>
      <c r="AK1420">
        <v>400</v>
      </c>
      <c r="AL1420">
        <v>0</v>
      </c>
      <c r="AM1420">
        <v>0</v>
      </c>
      <c r="AN1420">
        <v>0</v>
      </c>
      <c r="AO1420">
        <v>0</v>
      </c>
      <c r="AP1420">
        <v>280</v>
      </c>
      <c r="AT1420" t="str">
        <f t="shared" si="272"/>
        <v>9791166067563</v>
      </c>
      <c r="AV1420" t="str">
        <f t="shared" si="273"/>
        <v>판타지 웹소설 &gt; 현대 판타지</v>
      </c>
    </row>
    <row r="1421" spans="1:48" x14ac:dyDescent="0.4">
      <c r="A1421">
        <v>2313011400</v>
      </c>
      <c r="B1421">
        <v>2313011453</v>
      </c>
      <c r="C1421" t="str">
        <f>T("최종 보스 3권 9화")</f>
        <v>최종 보스 3권 9화</v>
      </c>
      <c r="D1421" t="str">
        <f>T("54")</f>
        <v>54</v>
      </c>
      <c r="E1421" t="str">
        <f t="shared" si="270"/>
        <v>무장</v>
      </c>
      <c r="H1421" t="str">
        <f t="shared" si="265"/>
        <v>스토리위즈</v>
      </c>
      <c r="I1421" t="str">
        <f t="shared" si="271"/>
        <v>최종 보스 : 빛을 향해 달리는 그림자</v>
      </c>
      <c r="J1421">
        <v>100</v>
      </c>
      <c r="K1421">
        <v>400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400</v>
      </c>
      <c r="AH1421">
        <v>4</v>
      </c>
      <c r="AI1421">
        <v>0</v>
      </c>
      <c r="AJ1421">
        <v>0</v>
      </c>
      <c r="AK1421">
        <v>400</v>
      </c>
      <c r="AL1421">
        <v>0</v>
      </c>
      <c r="AM1421">
        <v>0</v>
      </c>
      <c r="AN1421">
        <v>0</v>
      </c>
      <c r="AO1421">
        <v>0</v>
      </c>
      <c r="AP1421">
        <v>280</v>
      </c>
      <c r="AT1421" t="str">
        <f t="shared" si="272"/>
        <v>9791166067563</v>
      </c>
      <c r="AV1421" t="str">
        <f t="shared" si="273"/>
        <v>판타지 웹소설 &gt; 현대 판타지</v>
      </c>
    </row>
    <row r="1422" spans="1:48" x14ac:dyDescent="0.4">
      <c r="A1422">
        <v>2313011400</v>
      </c>
      <c r="B1422">
        <v>2313011454</v>
      </c>
      <c r="C1422" t="str">
        <f>T("최종 보스 3권 10화")</f>
        <v>최종 보스 3권 10화</v>
      </c>
      <c r="D1422" t="str">
        <f>T("55")</f>
        <v>55</v>
      </c>
      <c r="E1422" t="str">
        <f t="shared" si="270"/>
        <v>무장</v>
      </c>
      <c r="H1422" t="str">
        <f t="shared" si="265"/>
        <v>스토리위즈</v>
      </c>
      <c r="I1422" t="str">
        <f t="shared" si="271"/>
        <v>최종 보스 : 빛을 향해 달리는 그림자</v>
      </c>
      <c r="J1422">
        <v>100</v>
      </c>
      <c r="K1422">
        <v>400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400</v>
      </c>
      <c r="AH1422">
        <v>4</v>
      </c>
      <c r="AI1422">
        <v>0</v>
      </c>
      <c r="AJ1422">
        <v>0</v>
      </c>
      <c r="AK1422">
        <v>400</v>
      </c>
      <c r="AL1422">
        <v>0</v>
      </c>
      <c r="AM1422">
        <v>0</v>
      </c>
      <c r="AN1422">
        <v>0</v>
      </c>
      <c r="AO1422">
        <v>0</v>
      </c>
      <c r="AP1422">
        <v>280</v>
      </c>
      <c r="AT1422" t="str">
        <f t="shared" si="272"/>
        <v>9791166067563</v>
      </c>
      <c r="AV1422" t="str">
        <f t="shared" si="273"/>
        <v>판타지 웹소설 &gt; 현대 판타지</v>
      </c>
    </row>
    <row r="1423" spans="1:48" x14ac:dyDescent="0.4">
      <c r="A1423">
        <v>2313011400</v>
      </c>
      <c r="B1423">
        <v>2313011455</v>
      </c>
      <c r="C1423" t="str">
        <f>T("최종 보스 3권 11화")</f>
        <v>최종 보스 3권 11화</v>
      </c>
      <c r="D1423" t="str">
        <f>T("56")</f>
        <v>56</v>
      </c>
      <c r="E1423" t="str">
        <f t="shared" si="270"/>
        <v>무장</v>
      </c>
      <c r="H1423" t="str">
        <f t="shared" si="265"/>
        <v>스토리위즈</v>
      </c>
      <c r="I1423" t="str">
        <f t="shared" si="271"/>
        <v>최종 보스 : 빛을 향해 달리는 그림자</v>
      </c>
      <c r="J1423">
        <v>100</v>
      </c>
      <c r="K1423">
        <v>400</v>
      </c>
      <c r="L1423">
        <v>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400</v>
      </c>
      <c r="AH1423">
        <v>4</v>
      </c>
      <c r="AI1423">
        <v>0</v>
      </c>
      <c r="AJ1423">
        <v>0</v>
      </c>
      <c r="AK1423">
        <v>400</v>
      </c>
      <c r="AL1423">
        <v>0</v>
      </c>
      <c r="AM1423">
        <v>0</v>
      </c>
      <c r="AN1423">
        <v>0</v>
      </c>
      <c r="AO1423">
        <v>0</v>
      </c>
      <c r="AP1423">
        <v>280</v>
      </c>
      <c r="AT1423" t="str">
        <f t="shared" si="272"/>
        <v>9791166067563</v>
      </c>
      <c r="AV1423" t="str">
        <f t="shared" si="273"/>
        <v>판타지 웹소설 &gt; 현대 판타지</v>
      </c>
    </row>
    <row r="1424" spans="1:48" x14ac:dyDescent="0.4">
      <c r="A1424">
        <v>2313011400</v>
      </c>
      <c r="B1424">
        <v>2313011456</v>
      </c>
      <c r="C1424" t="str">
        <f>T("최종 보스 3권 12화")</f>
        <v>최종 보스 3권 12화</v>
      </c>
      <c r="D1424" t="str">
        <f>T("57")</f>
        <v>57</v>
      </c>
      <c r="E1424" t="str">
        <f t="shared" si="270"/>
        <v>무장</v>
      </c>
      <c r="H1424" t="str">
        <f t="shared" si="265"/>
        <v>스토리위즈</v>
      </c>
      <c r="I1424" t="str">
        <f t="shared" si="271"/>
        <v>최종 보스 : 빛을 향해 달리는 그림자</v>
      </c>
      <c r="J1424">
        <v>100</v>
      </c>
      <c r="K1424">
        <v>400</v>
      </c>
      <c r="L1424">
        <v>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400</v>
      </c>
      <c r="AH1424">
        <v>4</v>
      </c>
      <c r="AI1424">
        <v>0</v>
      </c>
      <c r="AJ1424">
        <v>0</v>
      </c>
      <c r="AK1424">
        <v>400</v>
      </c>
      <c r="AL1424">
        <v>0</v>
      </c>
      <c r="AM1424">
        <v>0</v>
      </c>
      <c r="AN1424">
        <v>0</v>
      </c>
      <c r="AO1424">
        <v>0</v>
      </c>
      <c r="AP1424">
        <v>280</v>
      </c>
      <c r="AT1424" t="str">
        <f t="shared" si="272"/>
        <v>9791166067563</v>
      </c>
      <c r="AV1424" t="str">
        <f t="shared" si="273"/>
        <v>판타지 웹소설 &gt; 현대 판타지</v>
      </c>
    </row>
    <row r="1425" spans="1:48" x14ac:dyDescent="0.4">
      <c r="A1425">
        <v>2313011400</v>
      </c>
      <c r="B1425">
        <v>2313011457</v>
      </c>
      <c r="C1425" t="str">
        <f>T("최종 보스 3권 13화")</f>
        <v>최종 보스 3권 13화</v>
      </c>
      <c r="D1425" t="str">
        <f>T("58")</f>
        <v>58</v>
      </c>
      <c r="E1425" t="str">
        <f t="shared" si="270"/>
        <v>무장</v>
      </c>
      <c r="H1425" t="str">
        <f t="shared" si="265"/>
        <v>스토리위즈</v>
      </c>
      <c r="I1425" t="str">
        <f t="shared" si="271"/>
        <v>최종 보스 : 빛을 향해 달리는 그림자</v>
      </c>
      <c r="J1425">
        <v>100</v>
      </c>
      <c r="K1425">
        <v>400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400</v>
      </c>
      <c r="AH1425">
        <v>4</v>
      </c>
      <c r="AI1425">
        <v>0</v>
      </c>
      <c r="AJ1425">
        <v>0</v>
      </c>
      <c r="AK1425">
        <v>400</v>
      </c>
      <c r="AL1425">
        <v>0</v>
      </c>
      <c r="AM1425">
        <v>0</v>
      </c>
      <c r="AN1425">
        <v>0</v>
      </c>
      <c r="AO1425">
        <v>0</v>
      </c>
      <c r="AP1425">
        <v>280</v>
      </c>
      <c r="AT1425" t="str">
        <f t="shared" si="272"/>
        <v>9791166067563</v>
      </c>
      <c r="AV1425" t="str">
        <f t="shared" si="273"/>
        <v>판타지 웹소설 &gt; 현대 판타지</v>
      </c>
    </row>
    <row r="1426" spans="1:48" x14ac:dyDescent="0.4">
      <c r="A1426">
        <v>2313011400</v>
      </c>
      <c r="B1426">
        <v>2313011458</v>
      </c>
      <c r="C1426" t="str">
        <f>T("최종 보스 3권 14화")</f>
        <v>최종 보스 3권 14화</v>
      </c>
      <c r="D1426" t="str">
        <f>T("59")</f>
        <v>59</v>
      </c>
      <c r="E1426" t="str">
        <f t="shared" si="270"/>
        <v>무장</v>
      </c>
      <c r="H1426" t="str">
        <f t="shared" si="265"/>
        <v>스토리위즈</v>
      </c>
      <c r="I1426" t="str">
        <f t="shared" si="271"/>
        <v>최종 보스 : 빛을 향해 달리는 그림자</v>
      </c>
      <c r="J1426">
        <v>100</v>
      </c>
      <c r="K1426">
        <v>400</v>
      </c>
      <c r="L1426">
        <v>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400</v>
      </c>
      <c r="AH1426">
        <v>4</v>
      </c>
      <c r="AI1426">
        <v>0</v>
      </c>
      <c r="AJ1426">
        <v>0</v>
      </c>
      <c r="AK1426">
        <v>400</v>
      </c>
      <c r="AL1426">
        <v>0</v>
      </c>
      <c r="AM1426">
        <v>0</v>
      </c>
      <c r="AN1426">
        <v>0</v>
      </c>
      <c r="AO1426">
        <v>0</v>
      </c>
      <c r="AP1426">
        <v>280</v>
      </c>
      <c r="AT1426" t="str">
        <f t="shared" si="272"/>
        <v>9791166067563</v>
      </c>
      <c r="AV1426" t="str">
        <f t="shared" si="273"/>
        <v>판타지 웹소설 &gt; 현대 판타지</v>
      </c>
    </row>
    <row r="1427" spans="1:48" x14ac:dyDescent="0.4">
      <c r="A1427">
        <v>2313011400</v>
      </c>
      <c r="B1427">
        <v>2313011459</v>
      </c>
      <c r="C1427" t="str">
        <f>T("최종 보스 3권 15화")</f>
        <v>최종 보스 3권 15화</v>
      </c>
      <c r="D1427" t="str">
        <f>T("60")</f>
        <v>60</v>
      </c>
      <c r="E1427" t="str">
        <f t="shared" si="270"/>
        <v>무장</v>
      </c>
      <c r="H1427" t="str">
        <f t="shared" si="265"/>
        <v>스토리위즈</v>
      </c>
      <c r="I1427" t="str">
        <f t="shared" si="271"/>
        <v>최종 보스 : 빛을 향해 달리는 그림자</v>
      </c>
      <c r="J1427">
        <v>100</v>
      </c>
      <c r="K1427">
        <v>400</v>
      </c>
      <c r="L1427">
        <v>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400</v>
      </c>
      <c r="AH1427">
        <v>4</v>
      </c>
      <c r="AI1427">
        <v>0</v>
      </c>
      <c r="AJ1427">
        <v>0</v>
      </c>
      <c r="AK1427">
        <v>400</v>
      </c>
      <c r="AL1427">
        <v>0</v>
      </c>
      <c r="AM1427">
        <v>0</v>
      </c>
      <c r="AN1427">
        <v>0</v>
      </c>
      <c r="AO1427">
        <v>0</v>
      </c>
      <c r="AP1427">
        <v>280</v>
      </c>
      <c r="AT1427" t="str">
        <f t="shared" si="272"/>
        <v>9791166067563</v>
      </c>
      <c r="AV1427" t="str">
        <f t="shared" si="273"/>
        <v>판타지 웹소설 &gt; 현대 판타지</v>
      </c>
    </row>
    <row r="1428" spans="1:48" x14ac:dyDescent="0.4">
      <c r="A1428">
        <v>2313011400</v>
      </c>
      <c r="B1428">
        <v>2313011460</v>
      </c>
      <c r="C1428" t="str">
        <f>T("최종 보스 3권 16화")</f>
        <v>최종 보스 3권 16화</v>
      </c>
      <c r="D1428" t="str">
        <f>T("61")</f>
        <v>61</v>
      </c>
      <c r="E1428" t="str">
        <f t="shared" si="270"/>
        <v>무장</v>
      </c>
      <c r="H1428" t="str">
        <f t="shared" si="265"/>
        <v>스토리위즈</v>
      </c>
      <c r="I1428" t="str">
        <f t="shared" si="271"/>
        <v>최종 보스 : 빛을 향해 달리는 그림자</v>
      </c>
      <c r="J1428">
        <v>100</v>
      </c>
      <c r="K1428">
        <v>400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400</v>
      </c>
      <c r="AH1428">
        <v>4</v>
      </c>
      <c r="AI1428">
        <v>0</v>
      </c>
      <c r="AJ1428">
        <v>0</v>
      </c>
      <c r="AK1428">
        <v>400</v>
      </c>
      <c r="AL1428">
        <v>0</v>
      </c>
      <c r="AM1428">
        <v>0</v>
      </c>
      <c r="AN1428">
        <v>0</v>
      </c>
      <c r="AO1428">
        <v>0</v>
      </c>
      <c r="AP1428">
        <v>280</v>
      </c>
      <c r="AT1428" t="str">
        <f t="shared" si="272"/>
        <v>9791166067563</v>
      </c>
      <c r="AV1428" t="str">
        <f t="shared" si="273"/>
        <v>판타지 웹소설 &gt; 현대 판타지</v>
      </c>
    </row>
    <row r="1429" spans="1:48" x14ac:dyDescent="0.4">
      <c r="A1429">
        <v>2313011400</v>
      </c>
      <c r="B1429">
        <v>2313011461</v>
      </c>
      <c r="C1429" t="str">
        <f>T("최종 보스 3권 17화")</f>
        <v>최종 보스 3권 17화</v>
      </c>
      <c r="D1429" t="str">
        <f>T("62")</f>
        <v>62</v>
      </c>
      <c r="E1429" t="str">
        <f t="shared" si="270"/>
        <v>무장</v>
      </c>
      <c r="H1429" t="str">
        <f t="shared" si="265"/>
        <v>스토리위즈</v>
      </c>
      <c r="I1429" t="str">
        <f t="shared" si="271"/>
        <v>최종 보스 : 빛을 향해 달리는 그림자</v>
      </c>
      <c r="J1429">
        <v>100</v>
      </c>
      <c r="K1429">
        <v>400</v>
      </c>
      <c r="L1429">
        <v>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400</v>
      </c>
      <c r="AH1429">
        <v>4</v>
      </c>
      <c r="AI1429">
        <v>0</v>
      </c>
      <c r="AJ1429">
        <v>0</v>
      </c>
      <c r="AK1429">
        <v>400</v>
      </c>
      <c r="AL1429">
        <v>0</v>
      </c>
      <c r="AM1429">
        <v>0</v>
      </c>
      <c r="AN1429">
        <v>0</v>
      </c>
      <c r="AO1429">
        <v>0</v>
      </c>
      <c r="AP1429">
        <v>280</v>
      </c>
      <c r="AT1429" t="str">
        <f t="shared" si="272"/>
        <v>9791166067563</v>
      </c>
      <c r="AV1429" t="str">
        <f t="shared" si="273"/>
        <v>판타지 웹소설 &gt; 현대 판타지</v>
      </c>
    </row>
    <row r="1430" spans="1:48" x14ac:dyDescent="0.4">
      <c r="A1430">
        <v>2313011400</v>
      </c>
      <c r="B1430">
        <v>2313011462</v>
      </c>
      <c r="C1430" t="str">
        <f>T("최종 보스 3권 18화")</f>
        <v>최종 보스 3권 18화</v>
      </c>
      <c r="D1430" t="str">
        <f>T("63")</f>
        <v>63</v>
      </c>
      <c r="E1430" t="str">
        <f t="shared" si="270"/>
        <v>무장</v>
      </c>
      <c r="H1430" t="str">
        <f t="shared" si="265"/>
        <v>스토리위즈</v>
      </c>
      <c r="I1430" t="str">
        <f t="shared" si="271"/>
        <v>최종 보스 : 빛을 향해 달리는 그림자</v>
      </c>
      <c r="J1430">
        <v>100</v>
      </c>
      <c r="K1430">
        <v>400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400</v>
      </c>
      <c r="AH1430">
        <v>4</v>
      </c>
      <c r="AI1430">
        <v>0</v>
      </c>
      <c r="AJ1430">
        <v>0</v>
      </c>
      <c r="AK1430">
        <v>400</v>
      </c>
      <c r="AL1430">
        <v>0</v>
      </c>
      <c r="AM1430">
        <v>0</v>
      </c>
      <c r="AN1430">
        <v>0</v>
      </c>
      <c r="AO1430">
        <v>0</v>
      </c>
      <c r="AP1430">
        <v>280</v>
      </c>
      <c r="AT1430" t="str">
        <f t="shared" si="272"/>
        <v>9791166067563</v>
      </c>
      <c r="AV1430" t="str">
        <f t="shared" si="273"/>
        <v>판타지 웹소설 &gt; 현대 판타지</v>
      </c>
    </row>
    <row r="1431" spans="1:48" x14ac:dyDescent="0.4">
      <c r="A1431">
        <v>2313011400</v>
      </c>
      <c r="B1431">
        <v>2313011463</v>
      </c>
      <c r="C1431" t="str">
        <f>T("최종 보스 3권 19화")</f>
        <v>최종 보스 3권 19화</v>
      </c>
      <c r="D1431" t="str">
        <f>T("64")</f>
        <v>64</v>
      </c>
      <c r="E1431" t="str">
        <f t="shared" si="270"/>
        <v>무장</v>
      </c>
      <c r="H1431" t="str">
        <f t="shared" si="265"/>
        <v>스토리위즈</v>
      </c>
      <c r="I1431" t="str">
        <f t="shared" si="271"/>
        <v>최종 보스 : 빛을 향해 달리는 그림자</v>
      </c>
      <c r="J1431">
        <v>100</v>
      </c>
      <c r="K1431">
        <v>400</v>
      </c>
      <c r="L1431">
        <v>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400</v>
      </c>
      <c r="AH1431">
        <v>4</v>
      </c>
      <c r="AI1431">
        <v>0</v>
      </c>
      <c r="AJ1431">
        <v>0</v>
      </c>
      <c r="AK1431">
        <v>400</v>
      </c>
      <c r="AL1431">
        <v>0</v>
      </c>
      <c r="AM1431">
        <v>0</v>
      </c>
      <c r="AN1431">
        <v>0</v>
      </c>
      <c r="AO1431">
        <v>0</v>
      </c>
      <c r="AP1431">
        <v>280</v>
      </c>
      <c r="AT1431" t="str">
        <f t="shared" si="272"/>
        <v>9791166067563</v>
      </c>
      <c r="AV1431" t="str">
        <f t="shared" si="273"/>
        <v>판타지 웹소설 &gt; 현대 판타지</v>
      </c>
    </row>
    <row r="1432" spans="1:48" x14ac:dyDescent="0.4">
      <c r="A1432">
        <v>2313011400</v>
      </c>
      <c r="B1432">
        <v>2313011464</v>
      </c>
      <c r="C1432" t="str">
        <f>T("최종 보스 3권 20화")</f>
        <v>최종 보스 3권 20화</v>
      </c>
      <c r="D1432" t="str">
        <f>T("65")</f>
        <v>65</v>
      </c>
      <c r="E1432" t="str">
        <f t="shared" si="270"/>
        <v>무장</v>
      </c>
      <c r="H1432" t="str">
        <f t="shared" si="265"/>
        <v>스토리위즈</v>
      </c>
      <c r="I1432" t="str">
        <f t="shared" si="271"/>
        <v>최종 보스 : 빛을 향해 달리는 그림자</v>
      </c>
      <c r="J1432">
        <v>100</v>
      </c>
      <c r="K1432">
        <v>400</v>
      </c>
      <c r="L1432">
        <v>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400</v>
      </c>
      <c r="AH1432">
        <v>4</v>
      </c>
      <c r="AI1432">
        <v>0</v>
      </c>
      <c r="AJ1432">
        <v>0</v>
      </c>
      <c r="AK1432">
        <v>400</v>
      </c>
      <c r="AL1432">
        <v>0</v>
      </c>
      <c r="AM1432">
        <v>0</v>
      </c>
      <c r="AN1432">
        <v>0</v>
      </c>
      <c r="AO1432">
        <v>0</v>
      </c>
      <c r="AP1432">
        <v>280</v>
      </c>
      <c r="AT1432" t="str">
        <f t="shared" si="272"/>
        <v>9791166067563</v>
      </c>
      <c r="AV1432" t="str">
        <f t="shared" si="273"/>
        <v>판타지 웹소설 &gt; 현대 판타지</v>
      </c>
    </row>
    <row r="1433" spans="1:48" x14ac:dyDescent="0.4">
      <c r="A1433">
        <v>2313011400</v>
      </c>
      <c r="B1433">
        <v>2313011465</v>
      </c>
      <c r="C1433" t="str">
        <f>T("최종 보스 3권 21화")</f>
        <v>최종 보스 3권 21화</v>
      </c>
      <c r="D1433" t="str">
        <f>T("66")</f>
        <v>66</v>
      </c>
      <c r="E1433" t="str">
        <f t="shared" si="270"/>
        <v>무장</v>
      </c>
      <c r="H1433" t="str">
        <f t="shared" si="265"/>
        <v>스토리위즈</v>
      </c>
      <c r="I1433" t="str">
        <f t="shared" si="271"/>
        <v>최종 보스 : 빛을 향해 달리는 그림자</v>
      </c>
      <c r="J1433">
        <v>100</v>
      </c>
      <c r="K1433">
        <v>400</v>
      </c>
      <c r="L1433">
        <v>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400</v>
      </c>
      <c r="AH1433">
        <v>4</v>
      </c>
      <c r="AI1433">
        <v>0</v>
      </c>
      <c r="AJ1433">
        <v>0</v>
      </c>
      <c r="AK1433">
        <v>400</v>
      </c>
      <c r="AL1433">
        <v>0</v>
      </c>
      <c r="AM1433">
        <v>0</v>
      </c>
      <c r="AN1433">
        <v>0</v>
      </c>
      <c r="AO1433">
        <v>0</v>
      </c>
      <c r="AP1433">
        <v>280</v>
      </c>
      <c r="AT1433" t="str">
        <f t="shared" si="272"/>
        <v>9791166067563</v>
      </c>
      <c r="AV1433" t="str">
        <f t="shared" si="273"/>
        <v>판타지 웹소설 &gt; 현대 판타지</v>
      </c>
    </row>
    <row r="1434" spans="1:48" x14ac:dyDescent="0.4">
      <c r="A1434">
        <v>2313011400</v>
      </c>
      <c r="B1434">
        <v>2313011742</v>
      </c>
      <c r="C1434" t="str">
        <f>T("최종 보스 17권 11화")</f>
        <v>최종 보스 17권 11화</v>
      </c>
      <c r="D1434" t="str">
        <f>T("343")</f>
        <v>343</v>
      </c>
      <c r="E1434" t="str">
        <f t="shared" si="270"/>
        <v>무장</v>
      </c>
      <c r="H1434" t="str">
        <f t="shared" si="265"/>
        <v>스토리위즈</v>
      </c>
      <c r="I1434" t="str">
        <f t="shared" si="271"/>
        <v>최종 보스 : 빛을 향해 달리는 그림자</v>
      </c>
      <c r="J1434">
        <v>100</v>
      </c>
      <c r="K1434">
        <v>400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400</v>
      </c>
      <c r="AH1434">
        <v>4</v>
      </c>
      <c r="AI1434">
        <v>0</v>
      </c>
      <c r="AJ1434">
        <v>0</v>
      </c>
      <c r="AK1434">
        <v>400</v>
      </c>
      <c r="AL1434">
        <v>0</v>
      </c>
      <c r="AM1434">
        <v>0</v>
      </c>
      <c r="AN1434">
        <v>0</v>
      </c>
      <c r="AO1434">
        <v>0</v>
      </c>
      <c r="AP1434">
        <v>280</v>
      </c>
      <c r="AT1434" t="str">
        <f t="shared" si="272"/>
        <v>9791166067563</v>
      </c>
      <c r="AV1434" t="str">
        <f t="shared" si="273"/>
        <v>판타지 웹소설 &gt; 현대 판타지</v>
      </c>
    </row>
    <row r="1435" spans="1:48" x14ac:dyDescent="0.4">
      <c r="A1435">
        <v>2313011400</v>
      </c>
      <c r="B1435">
        <v>2313011743</v>
      </c>
      <c r="C1435" t="str">
        <f>T("최종 보스 17권 12화")</f>
        <v>최종 보스 17권 12화</v>
      </c>
      <c r="D1435" t="str">
        <f>T("344")</f>
        <v>344</v>
      </c>
      <c r="E1435" t="str">
        <f t="shared" si="270"/>
        <v>무장</v>
      </c>
      <c r="H1435" t="str">
        <f t="shared" si="265"/>
        <v>스토리위즈</v>
      </c>
      <c r="I1435" t="str">
        <f t="shared" si="271"/>
        <v>최종 보스 : 빛을 향해 달리는 그림자</v>
      </c>
      <c r="J1435">
        <v>100</v>
      </c>
      <c r="K1435">
        <v>400</v>
      </c>
      <c r="L1435">
        <v>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400</v>
      </c>
      <c r="AH1435">
        <v>4</v>
      </c>
      <c r="AI1435">
        <v>0</v>
      </c>
      <c r="AJ1435">
        <v>0</v>
      </c>
      <c r="AK1435">
        <v>400</v>
      </c>
      <c r="AL1435">
        <v>0</v>
      </c>
      <c r="AM1435">
        <v>0</v>
      </c>
      <c r="AN1435">
        <v>0</v>
      </c>
      <c r="AO1435">
        <v>0</v>
      </c>
      <c r="AP1435">
        <v>280</v>
      </c>
      <c r="AT1435" t="str">
        <f t="shared" si="272"/>
        <v>9791166067563</v>
      </c>
      <c r="AV1435" t="str">
        <f t="shared" si="273"/>
        <v>판타지 웹소설 &gt; 현대 판타지</v>
      </c>
    </row>
    <row r="1436" spans="1:48" x14ac:dyDescent="0.4">
      <c r="A1436">
        <v>2313011400</v>
      </c>
      <c r="B1436">
        <v>2313011744</v>
      </c>
      <c r="C1436" t="str">
        <f>T("최종 보스 17권 13화")</f>
        <v>최종 보스 17권 13화</v>
      </c>
      <c r="D1436" t="str">
        <f>T("345")</f>
        <v>345</v>
      </c>
      <c r="E1436" t="str">
        <f t="shared" si="270"/>
        <v>무장</v>
      </c>
      <c r="H1436" t="str">
        <f t="shared" si="265"/>
        <v>스토리위즈</v>
      </c>
      <c r="I1436" t="str">
        <f t="shared" si="271"/>
        <v>최종 보스 : 빛을 향해 달리는 그림자</v>
      </c>
      <c r="J1436">
        <v>100</v>
      </c>
      <c r="K1436">
        <v>400</v>
      </c>
      <c r="L1436">
        <v>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400</v>
      </c>
      <c r="AH1436">
        <v>4</v>
      </c>
      <c r="AI1436">
        <v>0</v>
      </c>
      <c r="AJ1436">
        <v>0</v>
      </c>
      <c r="AK1436">
        <v>400</v>
      </c>
      <c r="AL1436">
        <v>0</v>
      </c>
      <c r="AM1436">
        <v>0</v>
      </c>
      <c r="AN1436">
        <v>0</v>
      </c>
      <c r="AO1436">
        <v>0</v>
      </c>
      <c r="AP1436">
        <v>280</v>
      </c>
      <c r="AT1436" t="str">
        <f t="shared" si="272"/>
        <v>9791166067563</v>
      </c>
      <c r="AV1436" t="str">
        <f t="shared" si="273"/>
        <v>판타지 웹소설 &gt; 현대 판타지</v>
      </c>
    </row>
    <row r="1437" spans="1:48" x14ac:dyDescent="0.4">
      <c r="A1437">
        <v>2313011400</v>
      </c>
      <c r="B1437">
        <v>2313011745</v>
      </c>
      <c r="C1437" t="str">
        <f>T("최종 보스 17권 14화")</f>
        <v>최종 보스 17권 14화</v>
      </c>
      <c r="D1437" t="str">
        <f>T("346")</f>
        <v>346</v>
      </c>
      <c r="E1437" t="str">
        <f t="shared" si="270"/>
        <v>무장</v>
      </c>
      <c r="H1437" t="str">
        <f t="shared" si="265"/>
        <v>스토리위즈</v>
      </c>
      <c r="I1437" t="str">
        <f t="shared" si="271"/>
        <v>최종 보스 : 빛을 향해 달리는 그림자</v>
      </c>
      <c r="J1437">
        <v>100</v>
      </c>
      <c r="K1437">
        <v>400</v>
      </c>
      <c r="L1437">
        <v>4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400</v>
      </c>
      <c r="AH1437">
        <v>4</v>
      </c>
      <c r="AI1437">
        <v>0</v>
      </c>
      <c r="AJ1437">
        <v>0</v>
      </c>
      <c r="AK1437">
        <v>400</v>
      </c>
      <c r="AL1437">
        <v>0</v>
      </c>
      <c r="AM1437">
        <v>0</v>
      </c>
      <c r="AN1437">
        <v>0</v>
      </c>
      <c r="AO1437">
        <v>0</v>
      </c>
      <c r="AP1437">
        <v>280</v>
      </c>
      <c r="AT1437" t="str">
        <f t="shared" si="272"/>
        <v>9791166067563</v>
      </c>
      <c r="AV1437" t="str">
        <f t="shared" si="273"/>
        <v>판타지 웹소설 &gt; 현대 판타지</v>
      </c>
    </row>
    <row r="1438" spans="1:48" x14ac:dyDescent="0.4">
      <c r="A1438">
        <v>2313011400</v>
      </c>
      <c r="B1438">
        <v>2313011746</v>
      </c>
      <c r="C1438" t="str">
        <f>T("최종 보스 17권 15화")</f>
        <v>최종 보스 17권 15화</v>
      </c>
      <c r="D1438" t="str">
        <f>T("347")</f>
        <v>347</v>
      </c>
      <c r="E1438" t="str">
        <f t="shared" si="270"/>
        <v>무장</v>
      </c>
      <c r="H1438" t="str">
        <f t="shared" si="265"/>
        <v>스토리위즈</v>
      </c>
      <c r="I1438" t="str">
        <f t="shared" si="271"/>
        <v>최종 보스 : 빛을 향해 달리는 그림자</v>
      </c>
      <c r="J1438">
        <v>100</v>
      </c>
      <c r="K1438">
        <v>400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400</v>
      </c>
      <c r="AH1438">
        <v>4</v>
      </c>
      <c r="AI1438">
        <v>0</v>
      </c>
      <c r="AJ1438">
        <v>0</v>
      </c>
      <c r="AK1438">
        <v>400</v>
      </c>
      <c r="AL1438">
        <v>0</v>
      </c>
      <c r="AM1438">
        <v>0</v>
      </c>
      <c r="AN1438">
        <v>0</v>
      </c>
      <c r="AO1438">
        <v>0</v>
      </c>
      <c r="AP1438">
        <v>280</v>
      </c>
      <c r="AT1438" t="str">
        <f t="shared" si="272"/>
        <v>9791166067563</v>
      </c>
      <c r="AV1438" t="str">
        <f t="shared" si="273"/>
        <v>판타지 웹소설 &gt; 현대 판타지</v>
      </c>
    </row>
    <row r="1439" spans="1:48" x14ac:dyDescent="0.4">
      <c r="A1439">
        <v>2313011400</v>
      </c>
      <c r="B1439">
        <v>2313011747</v>
      </c>
      <c r="C1439" t="str">
        <f>T("최종 보스 17권 16화")</f>
        <v>최종 보스 17권 16화</v>
      </c>
      <c r="D1439" t="str">
        <f>T("348")</f>
        <v>348</v>
      </c>
      <c r="E1439" t="str">
        <f t="shared" si="270"/>
        <v>무장</v>
      </c>
      <c r="H1439" t="str">
        <f t="shared" si="265"/>
        <v>스토리위즈</v>
      </c>
      <c r="I1439" t="str">
        <f t="shared" si="271"/>
        <v>최종 보스 : 빛을 향해 달리는 그림자</v>
      </c>
      <c r="J1439">
        <v>100</v>
      </c>
      <c r="K1439">
        <v>400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400</v>
      </c>
      <c r="AH1439">
        <v>4</v>
      </c>
      <c r="AI1439">
        <v>0</v>
      </c>
      <c r="AJ1439">
        <v>0</v>
      </c>
      <c r="AK1439">
        <v>400</v>
      </c>
      <c r="AL1439">
        <v>0</v>
      </c>
      <c r="AM1439">
        <v>0</v>
      </c>
      <c r="AN1439">
        <v>0</v>
      </c>
      <c r="AO1439">
        <v>0</v>
      </c>
      <c r="AP1439">
        <v>280</v>
      </c>
      <c r="AT1439" t="str">
        <f t="shared" si="272"/>
        <v>9791166067563</v>
      </c>
      <c r="AV1439" t="str">
        <f t="shared" si="273"/>
        <v>판타지 웹소설 &gt; 현대 판타지</v>
      </c>
    </row>
    <row r="1440" spans="1:48" x14ac:dyDescent="0.4">
      <c r="A1440">
        <v>2313011400</v>
      </c>
      <c r="B1440">
        <v>2313011748</v>
      </c>
      <c r="C1440" t="str">
        <f>T("최종 보스 17권 17화")</f>
        <v>최종 보스 17권 17화</v>
      </c>
      <c r="D1440" t="str">
        <f>T("349")</f>
        <v>349</v>
      </c>
      <c r="E1440" t="str">
        <f t="shared" si="270"/>
        <v>무장</v>
      </c>
      <c r="H1440" t="str">
        <f t="shared" si="265"/>
        <v>스토리위즈</v>
      </c>
      <c r="I1440" t="str">
        <f t="shared" si="271"/>
        <v>최종 보스 : 빛을 향해 달리는 그림자</v>
      </c>
      <c r="J1440">
        <v>100</v>
      </c>
      <c r="K1440">
        <v>400</v>
      </c>
      <c r="L1440">
        <v>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400</v>
      </c>
      <c r="AH1440">
        <v>4</v>
      </c>
      <c r="AI1440">
        <v>0</v>
      </c>
      <c r="AJ1440">
        <v>0</v>
      </c>
      <c r="AK1440">
        <v>400</v>
      </c>
      <c r="AL1440">
        <v>0</v>
      </c>
      <c r="AM1440">
        <v>0</v>
      </c>
      <c r="AN1440">
        <v>0</v>
      </c>
      <c r="AO1440">
        <v>0</v>
      </c>
      <c r="AP1440">
        <v>280</v>
      </c>
      <c r="AT1440" t="str">
        <f t="shared" si="272"/>
        <v>9791166067563</v>
      </c>
      <c r="AV1440" t="str">
        <f t="shared" si="273"/>
        <v>판타지 웹소설 &gt; 현대 판타지</v>
      </c>
    </row>
    <row r="1441" spans="1:48" x14ac:dyDescent="0.4">
      <c r="A1441">
        <v>2313011400</v>
      </c>
      <c r="B1441">
        <v>2313011749</v>
      </c>
      <c r="C1441" t="str">
        <f>T("최종 보스 17권 18화")</f>
        <v>최종 보스 17권 18화</v>
      </c>
      <c r="D1441" t="str">
        <f>T("350")</f>
        <v>350</v>
      </c>
      <c r="E1441" t="str">
        <f t="shared" si="270"/>
        <v>무장</v>
      </c>
      <c r="H1441" t="str">
        <f t="shared" si="265"/>
        <v>스토리위즈</v>
      </c>
      <c r="I1441" t="str">
        <f t="shared" si="271"/>
        <v>최종 보스 : 빛을 향해 달리는 그림자</v>
      </c>
      <c r="J1441">
        <v>100</v>
      </c>
      <c r="K1441">
        <v>400</v>
      </c>
      <c r="L1441">
        <v>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400</v>
      </c>
      <c r="AH1441">
        <v>4</v>
      </c>
      <c r="AI1441">
        <v>0</v>
      </c>
      <c r="AJ1441">
        <v>0</v>
      </c>
      <c r="AK1441">
        <v>400</v>
      </c>
      <c r="AL1441">
        <v>0</v>
      </c>
      <c r="AM1441">
        <v>0</v>
      </c>
      <c r="AN1441">
        <v>0</v>
      </c>
      <c r="AO1441">
        <v>0</v>
      </c>
      <c r="AP1441">
        <v>280</v>
      </c>
      <c r="AT1441" t="str">
        <f t="shared" si="272"/>
        <v>9791166067563</v>
      </c>
      <c r="AV1441" t="str">
        <f t="shared" si="273"/>
        <v>판타지 웹소설 &gt; 현대 판타지</v>
      </c>
    </row>
    <row r="1442" spans="1:48" x14ac:dyDescent="0.4">
      <c r="A1442">
        <v>2313011400</v>
      </c>
      <c r="B1442">
        <v>2313011750</v>
      </c>
      <c r="C1442" t="str">
        <f>T("최종 보스 17권 19화")</f>
        <v>최종 보스 17권 19화</v>
      </c>
      <c r="D1442" t="str">
        <f>T("351")</f>
        <v>351</v>
      </c>
      <c r="E1442" t="str">
        <f t="shared" si="270"/>
        <v>무장</v>
      </c>
      <c r="H1442" t="str">
        <f t="shared" si="265"/>
        <v>스토리위즈</v>
      </c>
      <c r="I1442" t="str">
        <f t="shared" si="271"/>
        <v>최종 보스 : 빛을 향해 달리는 그림자</v>
      </c>
      <c r="J1442">
        <v>100</v>
      </c>
      <c r="K1442">
        <v>400</v>
      </c>
      <c r="L1442">
        <v>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400</v>
      </c>
      <c r="AH1442">
        <v>4</v>
      </c>
      <c r="AI1442">
        <v>0</v>
      </c>
      <c r="AJ1442">
        <v>0</v>
      </c>
      <c r="AK1442">
        <v>400</v>
      </c>
      <c r="AL1442">
        <v>0</v>
      </c>
      <c r="AM1442">
        <v>0</v>
      </c>
      <c r="AN1442">
        <v>0</v>
      </c>
      <c r="AO1442">
        <v>0</v>
      </c>
      <c r="AP1442">
        <v>280</v>
      </c>
      <c r="AT1442" t="str">
        <f t="shared" si="272"/>
        <v>9791166067563</v>
      </c>
      <c r="AV1442" t="str">
        <f t="shared" si="273"/>
        <v>판타지 웹소설 &gt; 현대 판타지</v>
      </c>
    </row>
    <row r="1443" spans="1:48" x14ac:dyDescent="0.4">
      <c r="A1443">
        <v>2313011400</v>
      </c>
      <c r="B1443">
        <v>2313011751</v>
      </c>
      <c r="C1443" t="str">
        <f>T("최종 보스 17권 20화(1부 완결)")</f>
        <v>최종 보스 17권 20화(1부 완결)</v>
      </c>
      <c r="D1443" t="str">
        <f>T("352")</f>
        <v>352</v>
      </c>
      <c r="E1443" t="str">
        <f t="shared" si="270"/>
        <v>무장</v>
      </c>
      <c r="H1443" t="str">
        <f t="shared" si="265"/>
        <v>스토리위즈</v>
      </c>
      <c r="I1443" t="str">
        <f t="shared" si="271"/>
        <v>최종 보스 : 빛을 향해 달리는 그림자</v>
      </c>
      <c r="J1443">
        <v>100</v>
      </c>
      <c r="K1443">
        <v>400</v>
      </c>
      <c r="L1443">
        <v>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400</v>
      </c>
      <c r="AH1443">
        <v>4</v>
      </c>
      <c r="AI1443">
        <v>0</v>
      </c>
      <c r="AJ1443">
        <v>0</v>
      </c>
      <c r="AK1443">
        <v>400</v>
      </c>
      <c r="AL1443">
        <v>0</v>
      </c>
      <c r="AM1443">
        <v>0</v>
      </c>
      <c r="AN1443">
        <v>0</v>
      </c>
      <c r="AO1443">
        <v>0</v>
      </c>
      <c r="AP1443">
        <v>280</v>
      </c>
      <c r="AT1443" t="str">
        <f t="shared" si="272"/>
        <v>9791166067563</v>
      </c>
      <c r="AV1443" t="str">
        <f t="shared" si="273"/>
        <v>판타지 웹소설 &gt; 현대 판타지</v>
      </c>
    </row>
    <row r="1444" spans="1:48" x14ac:dyDescent="0.4">
      <c r="A1444">
        <v>2313011955</v>
      </c>
      <c r="B1444">
        <v>2313012211</v>
      </c>
      <c r="C1444" t="str">
        <f>T("갓 오브 블랙필드 257화")</f>
        <v>갓 오브 블랙필드 257화</v>
      </c>
      <c r="D1444" t="str">
        <f>T("257")</f>
        <v>257</v>
      </c>
      <c r="E1444" t="str">
        <f t="shared" si="270"/>
        <v>무장</v>
      </c>
      <c r="H1444" t="str">
        <f t="shared" si="265"/>
        <v>스토리위즈</v>
      </c>
      <c r="I1444" t="str">
        <f t="shared" ref="I1444:I1507" si="274">T("갓 오브 블랙필드")</f>
        <v>갓 오브 블랙필드</v>
      </c>
      <c r="J1444">
        <v>100</v>
      </c>
      <c r="K1444">
        <v>400</v>
      </c>
      <c r="L1444">
        <v>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400</v>
      </c>
      <c r="AH1444">
        <v>4</v>
      </c>
      <c r="AI1444">
        <v>0</v>
      </c>
      <c r="AJ1444">
        <v>0</v>
      </c>
      <c r="AK1444">
        <v>400</v>
      </c>
      <c r="AL1444">
        <v>0</v>
      </c>
      <c r="AM1444">
        <v>0</v>
      </c>
      <c r="AN1444">
        <v>0</v>
      </c>
      <c r="AO1444">
        <v>0</v>
      </c>
      <c r="AP1444">
        <v>280</v>
      </c>
      <c r="AT1444" t="str">
        <f t="shared" ref="AT1444:AT1507" si="275">T("9791137602113")</f>
        <v>9791137602113</v>
      </c>
      <c r="AV1444" t="str">
        <f t="shared" si="273"/>
        <v>판타지 웹소설 &gt; 현대 판타지</v>
      </c>
    </row>
    <row r="1445" spans="1:48" x14ac:dyDescent="0.4">
      <c r="A1445">
        <v>2313011955</v>
      </c>
      <c r="B1445">
        <v>2313012212</v>
      </c>
      <c r="C1445" t="str">
        <f>T("갓 오브 블랙필드 258화")</f>
        <v>갓 오브 블랙필드 258화</v>
      </c>
      <c r="D1445" t="str">
        <f>T("258")</f>
        <v>258</v>
      </c>
      <c r="E1445" t="str">
        <f t="shared" si="270"/>
        <v>무장</v>
      </c>
      <c r="H1445" t="str">
        <f t="shared" si="265"/>
        <v>스토리위즈</v>
      </c>
      <c r="I1445" t="str">
        <f t="shared" si="274"/>
        <v>갓 오브 블랙필드</v>
      </c>
      <c r="J1445">
        <v>100</v>
      </c>
      <c r="K1445">
        <v>400</v>
      </c>
      <c r="L1445">
        <v>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400</v>
      </c>
      <c r="AH1445">
        <v>4</v>
      </c>
      <c r="AI1445">
        <v>0</v>
      </c>
      <c r="AJ1445">
        <v>0</v>
      </c>
      <c r="AK1445">
        <v>400</v>
      </c>
      <c r="AL1445">
        <v>0</v>
      </c>
      <c r="AM1445">
        <v>0</v>
      </c>
      <c r="AN1445">
        <v>0</v>
      </c>
      <c r="AO1445">
        <v>0</v>
      </c>
      <c r="AP1445">
        <v>280</v>
      </c>
      <c r="AT1445" t="str">
        <f t="shared" si="275"/>
        <v>9791137602113</v>
      </c>
      <c r="AV1445" t="str">
        <f t="shared" si="273"/>
        <v>판타지 웹소설 &gt; 현대 판타지</v>
      </c>
    </row>
    <row r="1446" spans="1:48" x14ac:dyDescent="0.4">
      <c r="A1446">
        <v>2313011955</v>
      </c>
      <c r="B1446">
        <v>2313012213</v>
      </c>
      <c r="C1446" t="str">
        <f>T("갓 오브 블랙필드 259화")</f>
        <v>갓 오브 블랙필드 259화</v>
      </c>
      <c r="D1446" t="str">
        <f>T("259")</f>
        <v>259</v>
      </c>
      <c r="E1446" t="str">
        <f t="shared" si="270"/>
        <v>무장</v>
      </c>
      <c r="H1446" t="str">
        <f t="shared" si="265"/>
        <v>스토리위즈</v>
      </c>
      <c r="I1446" t="str">
        <f t="shared" si="274"/>
        <v>갓 오브 블랙필드</v>
      </c>
      <c r="J1446">
        <v>100</v>
      </c>
      <c r="K1446">
        <v>400</v>
      </c>
      <c r="L1446">
        <v>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400</v>
      </c>
      <c r="AH1446">
        <v>4</v>
      </c>
      <c r="AI1446">
        <v>0</v>
      </c>
      <c r="AJ1446">
        <v>0</v>
      </c>
      <c r="AK1446">
        <v>400</v>
      </c>
      <c r="AL1446">
        <v>0</v>
      </c>
      <c r="AM1446">
        <v>0</v>
      </c>
      <c r="AN1446">
        <v>0</v>
      </c>
      <c r="AO1446">
        <v>0</v>
      </c>
      <c r="AP1446">
        <v>280</v>
      </c>
      <c r="AT1446" t="str">
        <f t="shared" si="275"/>
        <v>9791137602113</v>
      </c>
      <c r="AV1446" t="str">
        <f t="shared" si="273"/>
        <v>판타지 웹소설 &gt; 현대 판타지</v>
      </c>
    </row>
    <row r="1447" spans="1:48" x14ac:dyDescent="0.4">
      <c r="A1447">
        <v>2313011955</v>
      </c>
      <c r="B1447">
        <v>2313012214</v>
      </c>
      <c r="C1447" t="str">
        <f>T("갓 오브 블랙필드 260화")</f>
        <v>갓 오브 블랙필드 260화</v>
      </c>
      <c r="D1447" t="str">
        <f>T("260")</f>
        <v>260</v>
      </c>
      <c r="E1447" t="str">
        <f t="shared" si="270"/>
        <v>무장</v>
      </c>
      <c r="H1447" t="str">
        <f t="shared" si="265"/>
        <v>스토리위즈</v>
      </c>
      <c r="I1447" t="str">
        <f t="shared" si="274"/>
        <v>갓 오브 블랙필드</v>
      </c>
      <c r="J1447">
        <v>100</v>
      </c>
      <c r="K1447">
        <v>400</v>
      </c>
      <c r="L1447">
        <v>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400</v>
      </c>
      <c r="AH1447">
        <v>4</v>
      </c>
      <c r="AI1447">
        <v>0</v>
      </c>
      <c r="AJ1447">
        <v>0</v>
      </c>
      <c r="AK1447">
        <v>400</v>
      </c>
      <c r="AL1447">
        <v>0</v>
      </c>
      <c r="AM1447">
        <v>0</v>
      </c>
      <c r="AN1447">
        <v>0</v>
      </c>
      <c r="AO1447">
        <v>0</v>
      </c>
      <c r="AP1447">
        <v>280</v>
      </c>
      <c r="AT1447" t="str">
        <f t="shared" si="275"/>
        <v>9791137602113</v>
      </c>
      <c r="AV1447" t="str">
        <f t="shared" si="273"/>
        <v>판타지 웹소설 &gt; 현대 판타지</v>
      </c>
    </row>
    <row r="1448" spans="1:48" x14ac:dyDescent="0.4">
      <c r="A1448">
        <v>2313011955</v>
      </c>
      <c r="B1448">
        <v>2313012215</v>
      </c>
      <c r="C1448" t="str">
        <f>T("갓 오브 블랙필드 261화")</f>
        <v>갓 오브 블랙필드 261화</v>
      </c>
      <c r="D1448" t="str">
        <f>T("261")</f>
        <v>261</v>
      </c>
      <c r="E1448" t="str">
        <f t="shared" si="270"/>
        <v>무장</v>
      </c>
      <c r="H1448" t="str">
        <f t="shared" si="265"/>
        <v>스토리위즈</v>
      </c>
      <c r="I1448" t="str">
        <f t="shared" si="274"/>
        <v>갓 오브 블랙필드</v>
      </c>
      <c r="J1448">
        <v>100</v>
      </c>
      <c r="K1448">
        <v>400</v>
      </c>
      <c r="L1448">
        <v>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400</v>
      </c>
      <c r="AH1448">
        <v>4</v>
      </c>
      <c r="AI1448">
        <v>0</v>
      </c>
      <c r="AJ1448">
        <v>0</v>
      </c>
      <c r="AK1448">
        <v>400</v>
      </c>
      <c r="AL1448">
        <v>0</v>
      </c>
      <c r="AM1448">
        <v>0</v>
      </c>
      <c r="AN1448">
        <v>0</v>
      </c>
      <c r="AO1448">
        <v>0</v>
      </c>
      <c r="AP1448">
        <v>280</v>
      </c>
      <c r="AT1448" t="str">
        <f t="shared" si="275"/>
        <v>9791137602113</v>
      </c>
      <c r="AV1448" t="str">
        <f t="shared" si="273"/>
        <v>판타지 웹소설 &gt; 현대 판타지</v>
      </c>
    </row>
    <row r="1449" spans="1:48" x14ac:dyDescent="0.4">
      <c r="A1449">
        <v>2313011955</v>
      </c>
      <c r="B1449">
        <v>2313012216</v>
      </c>
      <c r="C1449" t="str">
        <f>T("갓 오브 블랙필드 262화")</f>
        <v>갓 오브 블랙필드 262화</v>
      </c>
      <c r="D1449" t="str">
        <f>T("262")</f>
        <v>262</v>
      </c>
      <c r="E1449" t="str">
        <f t="shared" si="270"/>
        <v>무장</v>
      </c>
      <c r="H1449" t="str">
        <f t="shared" si="265"/>
        <v>스토리위즈</v>
      </c>
      <c r="I1449" t="str">
        <f t="shared" si="274"/>
        <v>갓 오브 블랙필드</v>
      </c>
      <c r="J1449">
        <v>100</v>
      </c>
      <c r="K1449">
        <v>400</v>
      </c>
      <c r="L1449">
        <v>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400</v>
      </c>
      <c r="AH1449">
        <v>4</v>
      </c>
      <c r="AI1449">
        <v>0</v>
      </c>
      <c r="AJ1449">
        <v>0</v>
      </c>
      <c r="AK1449">
        <v>400</v>
      </c>
      <c r="AL1449">
        <v>0</v>
      </c>
      <c r="AM1449">
        <v>0</v>
      </c>
      <c r="AN1449">
        <v>0</v>
      </c>
      <c r="AO1449">
        <v>0</v>
      </c>
      <c r="AP1449">
        <v>280</v>
      </c>
      <c r="AT1449" t="str">
        <f t="shared" si="275"/>
        <v>9791137602113</v>
      </c>
      <c r="AV1449" t="str">
        <f t="shared" si="273"/>
        <v>판타지 웹소설 &gt; 현대 판타지</v>
      </c>
    </row>
    <row r="1450" spans="1:48" x14ac:dyDescent="0.4">
      <c r="A1450">
        <v>2313011955</v>
      </c>
      <c r="B1450">
        <v>2313012217</v>
      </c>
      <c r="C1450" t="str">
        <f>T("갓 오브 블랙필드 263화")</f>
        <v>갓 오브 블랙필드 263화</v>
      </c>
      <c r="D1450" t="str">
        <f>T("263")</f>
        <v>263</v>
      </c>
      <c r="E1450" t="str">
        <f t="shared" si="270"/>
        <v>무장</v>
      </c>
      <c r="H1450" t="str">
        <f t="shared" si="265"/>
        <v>스토리위즈</v>
      </c>
      <c r="I1450" t="str">
        <f t="shared" si="274"/>
        <v>갓 오브 블랙필드</v>
      </c>
      <c r="J1450">
        <v>100</v>
      </c>
      <c r="K1450">
        <v>400</v>
      </c>
      <c r="L1450">
        <v>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400</v>
      </c>
      <c r="AH1450">
        <v>4</v>
      </c>
      <c r="AI1450">
        <v>0</v>
      </c>
      <c r="AJ1450">
        <v>0</v>
      </c>
      <c r="AK1450">
        <v>400</v>
      </c>
      <c r="AL1450">
        <v>0</v>
      </c>
      <c r="AM1450">
        <v>0</v>
      </c>
      <c r="AN1450">
        <v>0</v>
      </c>
      <c r="AO1450">
        <v>0</v>
      </c>
      <c r="AP1450">
        <v>280</v>
      </c>
      <c r="AT1450" t="str">
        <f t="shared" si="275"/>
        <v>9791137602113</v>
      </c>
      <c r="AV1450" t="str">
        <f t="shared" si="273"/>
        <v>판타지 웹소설 &gt; 현대 판타지</v>
      </c>
    </row>
    <row r="1451" spans="1:48" x14ac:dyDescent="0.4">
      <c r="A1451">
        <v>2313011955</v>
      </c>
      <c r="B1451">
        <v>2313012218</v>
      </c>
      <c r="C1451" t="str">
        <f>T("갓 오브 블랙필드 264화")</f>
        <v>갓 오브 블랙필드 264화</v>
      </c>
      <c r="D1451" t="str">
        <f>T("264")</f>
        <v>264</v>
      </c>
      <c r="E1451" t="str">
        <f t="shared" si="270"/>
        <v>무장</v>
      </c>
      <c r="H1451" t="str">
        <f t="shared" si="265"/>
        <v>스토리위즈</v>
      </c>
      <c r="I1451" t="str">
        <f t="shared" si="274"/>
        <v>갓 오브 블랙필드</v>
      </c>
      <c r="J1451">
        <v>100</v>
      </c>
      <c r="K1451">
        <v>400</v>
      </c>
      <c r="L1451">
        <v>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400</v>
      </c>
      <c r="AH1451">
        <v>4</v>
      </c>
      <c r="AI1451">
        <v>0</v>
      </c>
      <c r="AJ1451">
        <v>0</v>
      </c>
      <c r="AK1451">
        <v>400</v>
      </c>
      <c r="AL1451">
        <v>0</v>
      </c>
      <c r="AM1451">
        <v>0</v>
      </c>
      <c r="AN1451">
        <v>0</v>
      </c>
      <c r="AO1451">
        <v>0</v>
      </c>
      <c r="AP1451">
        <v>280</v>
      </c>
      <c r="AT1451" t="str">
        <f t="shared" si="275"/>
        <v>9791137602113</v>
      </c>
      <c r="AV1451" t="str">
        <f t="shared" si="273"/>
        <v>판타지 웹소설 &gt; 현대 판타지</v>
      </c>
    </row>
    <row r="1452" spans="1:48" x14ac:dyDescent="0.4">
      <c r="A1452">
        <v>2313011955</v>
      </c>
      <c r="B1452">
        <v>2313012219</v>
      </c>
      <c r="C1452" t="str">
        <f>T("갓 오브 블랙필드 265화")</f>
        <v>갓 오브 블랙필드 265화</v>
      </c>
      <c r="D1452" t="str">
        <f>T("265")</f>
        <v>265</v>
      </c>
      <c r="E1452" t="str">
        <f t="shared" si="270"/>
        <v>무장</v>
      </c>
      <c r="H1452" t="str">
        <f t="shared" si="265"/>
        <v>스토리위즈</v>
      </c>
      <c r="I1452" t="str">
        <f t="shared" si="274"/>
        <v>갓 오브 블랙필드</v>
      </c>
      <c r="J1452">
        <v>100</v>
      </c>
      <c r="K1452">
        <v>400</v>
      </c>
      <c r="L1452">
        <v>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400</v>
      </c>
      <c r="AH1452">
        <v>4</v>
      </c>
      <c r="AI1452">
        <v>0</v>
      </c>
      <c r="AJ1452">
        <v>0</v>
      </c>
      <c r="AK1452">
        <v>400</v>
      </c>
      <c r="AL1452">
        <v>0</v>
      </c>
      <c r="AM1452">
        <v>0</v>
      </c>
      <c r="AN1452">
        <v>0</v>
      </c>
      <c r="AO1452">
        <v>0</v>
      </c>
      <c r="AP1452">
        <v>280</v>
      </c>
      <c r="AT1452" t="str">
        <f t="shared" si="275"/>
        <v>9791137602113</v>
      </c>
      <c r="AV1452" t="str">
        <f t="shared" si="273"/>
        <v>판타지 웹소설 &gt; 현대 판타지</v>
      </c>
    </row>
    <row r="1453" spans="1:48" x14ac:dyDescent="0.4">
      <c r="A1453">
        <v>2313011955</v>
      </c>
      <c r="B1453">
        <v>2313012220</v>
      </c>
      <c r="C1453" t="str">
        <f>T("갓 오브 블랙필드 266화")</f>
        <v>갓 오브 블랙필드 266화</v>
      </c>
      <c r="D1453" t="str">
        <f>T("266")</f>
        <v>266</v>
      </c>
      <c r="E1453" t="str">
        <f t="shared" si="270"/>
        <v>무장</v>
      </c>
      <c r="H1453" t="str">
        <f t="shared" si="265"/>
        <v>스토리위즈</v>
      </c>
      <c r="I1453" t="str">
        <f t="shared" si="274"/>
        <v>갓 오브 블랙필드</v>
      </c>
      <c r="J1453">
        <v>100</v>
      </c>
      <c r="K1453">
        <v>400</v>
      </c>
      <c r="L1453">
        <v>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400</v>
      </c>
      <c r="AH1453">
        <v>4</v>
      </c>
      <c r="AI1453">
        <v>0</v>
      </c>
      <c r="AJ1453">
        <v>0</v>
      </c>
      <c r="AK1453">
        <v>400</v>
      </c>
      <c r="AL1453">
        <v>0</v>
      </c>
      <c r="AM1453">
        <v>0</v>
      </c>
      <c r="AN1453">
        <v>0</v>
      </c>
      <c r="AO1453">
        <v>0</v>
      </c>
      <c r="AP1453">
        <v>280</v>
      </c>
      <c r="AT1453" t="str">
        <f t="shared" si="275"/>
        <v>9791137602113</v>
      </c>
      <c r="AV1453" t="str">
        <f t="shared" si="273"/>
        <v>판타지 웹소설 &gt; 현대 판타지</v>
      </c>
    </row>
    <row r="1454" spans="1:48" x14ac:dyDescent="0.4">
      <c r="A1454">
        <v>2313011955</v>
      </c>
      <c r="B1454">
        <v>2313012232</v>
      </c>
      <c r="C1454" t="str">
        <f>T("갓 오브 블랙필드 278화")</f>
        <v>갓 오브 블랙필드 278화</v>
      </c>
      <c r="D1454" t="str">
        <f>T("278")</f>
        <v>278</v>
      </c>
      <c r="E1454" t="str">
        <f t="shared" si="270"/>
        <v>무장</v>
      </c>
      <c r="H1454" t="str">
        <f t="shared" si="265"/>
        <v>스토리위즈</v>
      </c>
      <c r="I1454" t="str">
        <f t="shared" si="274"/>
        <v>갓 오브 블랙필드</v>
      </c>
      <c r="J1454">
        <v>100</v>
      </c>
      <c r="K1454">
        <v>400</v>
      </c>
      <c r="L1454">
        <v>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400</v>
      </c>
      <c r="AH1454">
        <v>4</v>
      </c>
      <c r="AI1454">
        <v>0</v>
      </c>
      <c r="AJ1454">
        <v>0</v>
      </c>
      <c r="AK1454">
        <v>400</v>
      </c>
      <c r="AL1454">
        <v>0</v>
      </c>
      <c r="AM1454">
        <v>0</v>
      </c>
      <c r="AN1454">
        <v>0</v>
      </c>
      <c r="AO1454">
        <v>0</v>
      </c>
      <c r="AP1454">
        <v>280</v>
      </c>
      <c r="AT1454" t="str">
        <f t="shared" si="275"/>
        <v>9791137602113</v>
      </c>
      <c r="AV1454" t="str">
        <f t="shared" si="273"/>
        <v>판타지 웹소설 &gt; 현대 판타지</v>
      </c>
    </row>
    <row r="1455" spans="1:48" x14ac:dyDescent="0.4">
      <c r="A1455">
        <v>2313011955</v>
      </c>
      <c r="B1455">
        <v>2313012233</v>
      </c>
      <c r="C1455" t="str">
        <f>T("갓 오브 블랙필드 279화")</f>
        <v>갓 오브 블랙필드 279화</v>
      </c>
      <c r="D1455" t="str">
        <f>T("279")</f>
        <v>279</v>
      </c>
      <c r="E1455" t="str">
        <f t="shared" si="270"/>
        <v>무장</v>
      </c>
      <c r="H1455" t="str">
        <f t="shared" si="265"/>
        <v>스토리위즈</v>
      </c>
      <c r="I1455" t="str">
        <f t="shared" si="274"/>
        <v>갓 오브 블랙필드</v>
      </c>
      <c r="J1455">
        <v>100</v>
      </c>
      <c r="K1455">
        <v>400</v>
      </c>
      <c r="L1455">
        <v>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400</v>
      </c>
      <c r="AH1455">
        <v>4</v>
      </c>
      <c r="AI1455">
        <v>0</v>
      </c>
      <c r="AJ1455">
        <v>0</v>
      </c>
      <c r="AK1455">
        <v>400</v>
      </c>
      <c r="AL1455">
        <v>0</v>
      </c>
      <c r="AM1455">
        <v>0</v>
      </c>
      <c r="AN1455">
        <v>0</v>
      </c>
      <c r="AO1455">
        <v>0</v>
      </c>
      <c r="AP1455">
        <v>280</v>
      </c>
      <c r="AT1455" t="str">
        <f t="shared" si="275"/>
        <v>9791137602113</v>
      </c>
      <c r="AV1455" t="str">
        <f t="shared" si="273"/>
        <v>판타지 웹소설 &gt; 현대 판타지</v>
      </c>
    </row>
    <row r="1456" spans="1:48" x14ac:dyDescent="0.4">
      <c r="A1456">
        <v>2313011955</v>
      </c>
      <c r="B1456">
        <v>2313012234</v>
      </c>
      <c r="C1456" t="str">
        <f>T("갓 오브 블랙필드 280화")</f>
        <v>갓 오브 블랙필드 280화</v>
      </c>
      <c r="D1456" t="str">
        <f>T("280")</f>
        <v>280</v>
      </c>
      <c r="E1456" t="str">
        <f t="shared" si="270"/>
        <v>무장</v>
      </c>
      <c r="H1456" t="str">
        <f t="shared" si="265"/>
        <v>스토리위즈</v>
      </c>
      <c r="I1456" t="str">
        <f t="shared" si="274"/>
        <v>갓 오브 블랙필드</v>
      </c>
      <c r="J1456">
        <v>100</v>
      </c>
      <c r="K1456">
        <v>400</v>
      </c>
      <c r="L1456">
        <v>4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400</v>
      </c>
      <c r="AH1456">
        <v>4</v>
      </c>
      <c r="AI1456">
        <v>0</v>
      </c>
      <c r="AJ1456">
        <v>0</v>
      </c>
      <c r="AK1456">
        <v>400</v>
      </c>
      <c r="AL1456">
        <v>0</v>
      </c>
      <c r="AM1456">
        <v>0</v>
      </c>
      <c r="AN1456">
        <v>0</v>
      </c>
      <c r="AO1456">
        <v>0</v>
      </c>
      <c r="AP1456">
        <v>280</v>
      </c>
      <c r="AT1456" t="str">
        <f t="shared" si="275"/>
        <v>9791137602113</v>
      </c>
      <c r="AV1456" t="str">
        <f t="shared" si="273"/>
        <v>판타지 웹소설 &gt; 현대 판타지</v>
      </c>
    </row>
    <row r="1457" spans="1:48" x14ac:dyDescent="0.4">
      <c r="A1457">
        <v>2313011955</v>
      </c>
      <c r="B1457">
        <v>2313012235</v>
      </c>
      <c r="C1457" t="str">
        <f>T("갓 오브 블랙필드 281화")</f>
        <v>갓 오브 블랙필드 281화</v>
      </c>
      <c r="D1457" t="str">
        <f>T("281")</f>
        <v>281</v>
      </c>
      <c r="E1457" t="str">
        <f t="shared" si="270"/>
        <v>무장</v>
      </c>
      <c r="H1457" t="str">
        <f t="shared" si="265"/>
        <v>스토리위즈</v>
      </c>
      <c r="I1457" t="str">
        <f t="shared" si="274"/>
        <v>갓 오브 블랙필드</v>
      </c>
      <c r="J1457">
        <v>100</v>
      </c>
      <c r="K1457">
        <v>400</v>
      </c>
      <c r="L1457">
        <v>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400</v>
      </c>
      <c r="AH1457">
        <v>4</v>
      </c>
      <c r="AI1457">
        <v>0</v>
      </c>
      <c r="AJ1457">
        <v>0</v>
      </c>
      <c r="AK1457">
        <v>400</v>
      </c>
      <c r="AL1457">
        <v>0</v>
      </c>
      <c r="AM1457">
        <v>0</v>
      </c>
      <c r="AN1457">
        <v>0</v>
      </c>
      <c r="AO1457">
        <v>0</v>
      </c>
      <c r="AP1457">
        <v>280</v>
      </c>
      <c r="AT1457" t="str">
        <f t="shared" si="275"/>
        <v>9791137602113</v>
      </c>
      <c r="AV1457" t="str">
        <f t="shared" si="273"/>
        <v>판타지 웹소설 &gt; 현대 판타지</v>
      </c>
    </row>
    <row r="1458" spans="1:48" x14ac:dyDescent="0.4">
      <c r="A1458">
        <v>2313011955</v>
      </c>
      <c r="B1458">
        <v>2313012236</v>
      </c>
      <c r="C1458" t="str">
        <f>T("갓 오브 블랙필드 282화")</f>
        <v>갓 오브 블랙필드 282화</v>
      </c>
      <c r="D1458" t="str">
        <f>T("282")</f>
        <v>282</v>
      </c>
      <c r="E1458" t="str">
        <f t="shared" si="270"/>
        <v>무장</v>
      </c>
      <c r="H1458" t="str">
        <f t="shared" si="265"/>
        <v>스토리위즈</v>
      </c>
      <c r="I1458" t="str">
        <f t="shared" si="274"/>
        <v>갓 오브 블랙필드</v>
      </c>
      <c r="J1458">
        <v>100</v>
      </c>
      <c r="K1458">
        <v>400</v>
      </c>
      <c r="L1458">
        <v>4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400</v>
      </c>
      <c r="AH1458">
        <v>4</v>
      </c>
      <c r="AI1458">
        <v>0</v>
      </c>
      <c r="AJ1458">
        <v>0</v>
      </c>
      <c r="AK1458">
        <v>400</v>
      </c>
      <c r="AL1458">
        <v>0</v>
      </c>
      <c r="AM1458">
        <v>0</v>
      </c>
      <c r="AN1458">
        <v>0</v>
      </c>
      <c r="AO1458">
        <v>0</v>
      </c>
      <c r="AP1458">
        <v>280</v>
      </c>
      <c r="AT1458" t="str">
        <f t="shared" si="275"/>
        <v>9791137602113</v>
      </c>
      <c r="AV1458" t="str">
        <f t="shared" si="273"/>
        <v>판타지 웹소설 &gt; 현대 판타지</v>
      </c>
    </row>
    <row r="1459" spans="1:48" x14ac:dyDescent="0.4">
      <c r="A1459">
        <v>2313011955</v>
      </c>
      <c r="B1459">
        <v>2313012237</v>
      </c>
      <c r="C1459" t="str">
        <f>T("갓 오브 블랙필드 283화")</f>
        <v>갓 오브 블랙필드 283화</v>
      </c>
      <c r="D1459" t="str">
        <f>T("283")</f>
        <v>283</v>
      </c>
      <c r="E1459" t="str">
        <f t="shared" si="270"/>
        <v>무장</v>
      </c>
      <c r="H1459" t="str">
        <f t="shared" si="265"/>
        <v>스토리위즈</v>
      </c>
      <c r="I1459" t="str">
        <f t="shared" si="274"/>
        <v>갓 오브 블랙필드</v>
      </c>
      <c r="J1459">
        <v>100</v>
      </c>
      <c r="K1459">
        <v>400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400</v>
      </c>
      <c r="AH1459">
        <v>4</v>
      </c>
      <c r="AI1459">
        <v>0</v>
      </c>
      <c r="AJ1459">
        <v>0</v>
      </c>
      <c r="AK1459">
        <v>400</v>
      </c>
      <c r="AL1459">
        <v>0</v>
      </c>
      <c r="AM1459">
        <v>0</v>
      </c>
      <c r="AN1459">
        <v>0</v>
      </c>
      <c r="AO1459">
        <v>0</v>
      </c>
      <c r="AP1459">
        <v>280</v>
      </c>
      <c r="AT1459" t="str">
        <f t="shared" si="275"/>
        <v>9791137602113</v>
      </c>
      <c r="AV1459" t="str">
        <f t="shared" si="273"/>
        <v>판타지 웹소설 &gt; 현대 판타지</v>
      </c>
    </row>
    <row r="1460" spans="1:48" x14ac:dyDescent="0.4">
      <c r="A1460">
        <v>2313011955</v>
      </c>
      <c r="B1460">
        <v>2313012238</v>
      </c>
      <c r="C1460" t="str">
        <f>T("갓 오브 블랙필드 284화")</f>
        <v>갓 오브 블랙필드 284화</v>
      </c>
      <c r="D1460" t="str">
        <f>T("284")</f>
        <v>284</v>
      </c>
      <c r="E1460" t="str">
        <f t="shared" si="270"/>
        <v>무장</v>
      </c>
      <c r="H1460" t="str">
        <f t="shared" si="265"/>
        <v>스토리위즈</v>
      </c>
      <c r="I1460" t="str">
        <f t="shared" si="274"/>
        <v>갓 오브 블랙필드</v>
      </c>
      <c r="J1460">
        <v>100</v>
      </c>
      <c r="K1460">
        <v>400</v>
      </c>
      <c r="L1460">
        <v>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400</v>
      </c>
      <c r="AH1460">
        <v>4</v>
      </c>
      <c r="AI1460">
        <v>0</v>
      </c>
      <c r="AJ1460">
        <v>0</v>
      </c>
      <c r="AK1460">
        <v>400</v>
      </c>
      <c r="AL1460">
        <v>0</v>
      </c>
      <c r="AM1460">
        <v>0</v>
      </c>
      <c r="AN1460">
        <v>0</v>
      </c>
      <c r="AO1460">
        <v>0</v>
      </c>
      <c r="AP1460">
        <v>280</v>
      </c>
      <c r="AT1460" t="str">
        <f t="shared" si="275"/>
        <v>9791137602113</v>
      </c>
      <c r="AV1460" t="str">
        <f t="shared" si="273"/>
        <v>판타지 웹소설 &gt; 현대 판타지</v>
      </c>
    </row>
    <row r="1461" spans="1:48" x14ac:dyDescent="0.4">
      <c r="A1461">
        <v>2313011955</v>
      </c>
      <c r="B1461">
        <v>2313012239</v>
      </c>
      <c r="C1461" t="str">
        <f>T("갓 오브 블랙필드 285화")</f>
        <v>갓 오브 블랙필드 285화</v>
      </c>
      <c r="D1461" t="str">
        <f>T("285")</f>
        <v>285</v>
      </c>
      <c r="E1461" t="str">
        <f t="shared" si="270"/>
        <v>무장</v>
      </c>
      <c r="H1461" t="str">
        <f t="shared" ref="H1461:H1524" si="276">T("스토리위즈")</f>
        <v>스토리위즈</v>
      </c>
      <c r="I1461" t="str">
        <f t="shared" si="274"/>
        <v>갓 오브 블랙필드</v>
      </c>
      <c r="J1461">
        <v>100</v>
      </c>
      <c r="K1461">
        <v>400</v>
      </c>
      <c r="L1461">
        <v>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400</v>
      </c>
      <c r="AH1461">
        <v>4</v>
      </c>
      <c r="AI1461">
        <v>0</v>
      </c>
      <c r="AJ1461">
        <v>0</v>
      </c>
      <c r="AK1461">
        <v>400</v>
      </c>
      <c r="AL1461">
        <v>0</v>
      </c>
      <c r="AM1461">
        <v>0</v>
      </c>
      <c r="AN1461">
        <v>0</v>
      </c>
      <c r="AO1461">
        <v>0</v>
      </c>
      <c r="AP1461">
        <v>280</v>
      </c>
      <c r="AT1461" t="str">
        <f t="shared" si="275"/>
        <v>9791137602113</v>
      </c>
      <c r="AV1461" t="str">
        <f t="shared" si="273"/>
        <v>판타지 웹소설 &gt; 현대 판타지</v>
      </c>
    </row>
    <row r="1462" spans="1:48" x14ac:dyDescent="0.4">
      <c r="A1462">
        <v>2313011955</v>
      </c>
      <c r="B1462">
        <v>2313012240</v>
      </c>
      <c r="C1462" t="str">
        <f>T("갓 오브 블랙필드 286화")</f>
        <v>갓 오브 블랙필드 286화</v>
      </c>
      <c r="D1462" t="str">
        <f>T("286")</f>
        <v>286</v>
      </c>
      <c r="E1462" t="str">
        <f t="shared" si="270"/>
        <v>무장</v>
      </c>
      <c r="H1462" t="str">
        <f t="shared" si="276"/>
        <v>스토리위즈</v>
      </c>
      <c r="I1462" t="str">
        <f t="shared" si="274"/>
        <v>갓 오브 블랙필드</v>
      </c>
      <c r="J1462">
        <v>100</v>
      </c>
      <c r="K1462">
        <v>400</v>
      </c>
      <c r="L1462">
        <v>4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400</v>
      </c>
      <c r="AH1462">
        <v>4</v>
      </c>
      <c r="AI1462">
        <v>0</v>
      </c>
      <c r="AJ1462">
        <v>0</v>
      </c>
      <c r="AK1462">
        <v>400</v>
      </c>
      <c r="AL1462">
        <v>0</v>
      </c>
      <c r="AM1462">
        <v>0</v>
      </c>
      <c r="AN1462">
        <v>0</v>
      </c>
      <c r="AO1462">
        <v>0</v>
      </c>
      <c r="AP1462">
        <v>280</v>
      </c>
      <c r="AT1462" t="str">
        <f t="shared" si="275"/>
        <v>9791137602113</v>
      </c>
      <c r="AV1462" t="str">
        <f t="shared" si="273"/>
        <v>판타지 웹소설 &gt; 현대 판타지</v>
      </c>
    </row>
    <row r="1463" spans="1:48" x14ac:dyDescent="0.4">
      <c r="A1463">
        <v>2313011955</v>
      </c>
      <c r="B1463">
        <v>2313012241</v>
      </c>
      <c r="C1463" t="str">
        <f>T("갓 오브 블랙필드 287화")</f>
        <v>갓 오브 블랙필드 287화</v>
      </c>
      <c r="D1463" t="str">
        <f>T("287")</f>
        <v>287</v>
      </c>
      <c r="E1463" t="str">
        <f t="shared" si="270"/>
        <v>무장</v>
      </c>
      <c r="H1463" t="str">
        <f t="shared" si="276"/>
        <v>스토리위즈</v>
      </c>
      <c r="I1463" t="str">
        <f t="shared" si="274"/>
        <v>갓 오브 블랙필드</v>
      </c>
      <c r="J1463">
        <v>100</v>
      </c>
      <c r="K1463">
        <v>400</v>
      </c>
      <c r="L1463">
        <v>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400</v>
      </c>
      <c r="AH1463">
        <v>4</v>
      </c>
      <c r="AI1463">
        <v>0</v>
      </c>
      <c r="AJ1463">
        <v>0</v>
      </c>
      <c r="AK1463">
        <v>400</v>
      </c>
      <c r="AL1463">
        <v>0</v>
      </c>
      <c r="AM1463">
        <v>0</v>
      </c>
      <c r="AN1463">
        <v>0</v>
      </c>
      <c r="AO1463">
        <v>0</v>
      </c>
      <c r="AP1463">
        <v>280</v>
      </c>
      <c r="AT1463" t="str">
        <f t="shared" si="275"/>
        <v>9791137602113</v>
      </c>
      <c r="AV1463" t="str">
        <f t="shared" si="273"/>
        <v>판타지 웹소설 &gt; 현대 판타지</v>
      </c>
    </row>
    <row r="1464" spans="1:48" x14ac:dyDescent="0.4">
      <c r="A1464">
        <v>2313011955</v>
      </c>
      <c r="B1464">
        <v>2313012242</v>
      </c>
      <c r="C1464" t="str">
        <f>T("갓 오브 블랙필드 288화")</f>
        <v>갓 오브 블랙필드 288화</v>
      </c>
      <c r="D1464" t="str">
        <f>T("288")</f>
        <v>288</v>
      </c>
      <c r="E1464" t="str">
        <f t="shared" si="270"/>
        <v>무장</v>
      </c>
      <c r="H1464" t="str">
        <f t="shared" si="276"/>
        <v>스토리위즈</v>
      </c>
      <c r="I1464" t="str">
        <f t="shared" si="274"/>
        <v>갓 오브 블랙필드</v>
      </c>
      <c r="J1464">
        <v>100</v>
      </c>
      <c r="K1464">
        <v>400</v>
      </c>
      <c r="L1464">
        <v>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400</v>
      </c>
      <c r="AH1464">
        <v>4</v>
      </c>
      <c r="AI1464">
        <v>0</v>
      </c>
      <c r="AJ1464">
        <v>0</v>
      </c>
      <c r="AK1464">
        <v>400</v>
      </c>
      <c r="AL1464">
        <v>0</v>
      </c>
      <c r="AM1464">
        <v>0</v>
      </c>
      <c r="AN1464">
        <v>0</v>
      </c>
      <c r="AO1464">
        <v>0</v>
      </c>
      <c r="AP1464">
        <v>280</v>
      </c>
      <c r="AT1464" t="str">
        <f t="shared" si="275"/>
        <v>9791137602113</v>
      </c>
      <c r="AV1464" t="str">
        <f t="shared" si="273"/>
        <v>판타지 웹소설 &gt; 현대 판타지</v>
      </c>
    </row>
    <row r="1465" spans="1:48" x14ac:dyDescent="0.4">
      <c r="A1465">
        <v>2313011955</v>
      </c>
      <c r="B1465">
        <v>2313012243</v>
      </c>
      <c r="C1465" t="str">
        <f>T("갓 오브 블랙필드 289화")</f>
        <v>갓 오브 블랙필드 289화</v>
      </c>
      <c r="D1465" t="str">
        <f>T("289")</f>
        <v>289</v>
      </c>
      <c r="E1465" t="str">
        <f t="shared" si="270"/>
        <v>무장</v>
      </c>
      <c r="H1465" t="str">
        <f t="shared" si="276"/>
        <v>스토리위즈</v>
      </c>
      <c r="I1465" t="str">
        <f t="shared" si="274"/>
        <v>갓 오브 블랙필드</v>
      </c>
      <c r="J1465">
        <v>100</v>
      </c>
      <c r="K1465">
        <v>400</v>
      </c>
      <c r="L1465">
        <v>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400</v>
      </c>
      <c r="AH1465">
        <v>4</v>
      </c>
      <c r="AI1465">
        <v>0</v>
      </c>
      <c r="AJ1465">
        <v>0</v>
      </c>
      <c r="AK1465">
        <v>400</v>
      </c>
      <c r="AL1465">
        <v>0</v>
      </c>
      <c r="AM1465">
        <v>0</v>
      </c>
      <c r="AN1465">
        <v>0</v>
      </c>
      <c r="AO1465">
        <v>0</v>
      </c>
      <c r="AP1465">
        <v>280</v>
      </c>
      <c r="AT1465" t="str">
        <f t="shared" si="275"/>
        <v>9791137602113</v>
      </c>
      <c r="AV1465" t="str">
        <f t="shared" si="273"/>
        <v>판타지 웹소설 &gt; 현대 판타지</v>
      </c>
    </row>
    <row r="1466" spans="1:48" x14ac:dyDescent="0.4">
      <c r="A1466">
        <v>2313011955</v>
      </c>
      <c r="B1466">
        <v>2313012244</v>
      </c>
      <c r="C1466" t="str">
        <f>T("갓 오브 블랙필드 290화")</f>
        <v>갓 오브 블랙필드 290화</v>
      </c>
      <c r="D1466" t="str">
        <f>T("290")</f>
        <v>290</v>
      </c>
      <c r="E1466" t="str">
        <f t="shared" si="270"/>
        <v>무장</v>
      </c>
      <c r="H1466" t="str">
        <f t="shared" si="276"/>
        <v>스토리위즈</v>
      </c>
      <c r="I1466" t="str">
        <f t="shared" si="274"/>
        <v>갓 오브 블랙필드</v>
      </c>
      <c r="J1466">
        <v>100</v>
      </c>
      <c r="K1466">
        <v>400</v>
      </c>
      <c r="L1466">
        <v>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400</v>
      </c>
      <c r="AH1466">
        <v>4</v>
      </c>
      <c r="AI1466">
        <v>0</v>
      </c>
      <c r="AJ1466">
        <v>0</v>
      </c>
      <c r="AK1466">
        <v>400</v>
      </c>
      <c r="AL1466">
        <v>0</v>
      </c>
      <c r="AM1466">
        <v>0</v>
      </c>
      <c r="AN1466">
        <v>0</v>
      </c>
      <c r="AO1466">
        <v>0</v>
      </c>
      <c r="AP1466">
        <v>280</v>
      </c>
      <c r="AT1466" t="str">
        <f t="shared" si="275"/>
        <v>9791137602113</v>
      </c>
      <c r="AV1466" t="str">
        <f t="shared" si="273"/>
        <v>판타지 웹소설 &gt; 현대 판타지</v>
      </c>
    </row>
    <row r="1467" spans="1:48" x14ac:dyDescent="0.4">
      <c r="A1467">
        <v>2313011955</v>
      </c>
      <c r="B1467">
        <v>2313012245</v>
      </c>
      <c r="C1467" t="str">
        <f>T("갓 오브 블랙필드 291화")</f>
        <v>갓 오브 블랙필드 291화</v>
      </c>
      <c r="D1467" t="str">
        <f>T("291")</f>
        <v>291</v>
      </c>
      <c r="E1467" t="str">
        <f t="shared" si="270"/>
        <v>무장</v>
      </c>
      <c r="H1467" t="str">
        <f t="shared" si="276"/>
        <v>스토리위즈</v>
      </c>
      <c r="I1467" t="str">
        <f t="shared" si="274"/>
        <v>갓 오브 블랙필드</v>
      </c>
      <c r="J1467">
        <v>100</v>
      </c>
      <c r="K1467">
        <v>400</v>
      </c>
      <c r="L1467">
        <v>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400</v>
      </c>
      <c r="AH1467">
        <v>4</v>
      </c>
      <c r="AI1467">
        <v>0</v>
      </c>
      <c r="AJ1467">
        <v>0</v>
      </c>
      <c r="AK1467">
        <v>400</v>
      </c>
      <c r="AL1467">
        <v>0</v>
      </c>
      <c r="AM1467">
        <v>0</v>
      </c>
      <c r="AN1467">
        <v>0</v>
      </c>
      <c r="AO1467">
        <v>0</v>
      </c>
      <c r="AP1467">
        <v>280</v>
      </c>
      <c r="AT1467" t="str">
        <f t="shared" si="275"/>
        <v>9791137602113</v>
      </c>
      <c r="AV1467" t="str">
        <f t="shared" si="273"/>
        <v>판타지 웹소설 &gt; 현대 판타지</v>
      </c>
    </row>
    <row r="1468" spans="1:48" x14ac:dyDescent="0.4">
      <c r="A1468">
        <v>2313011955</v>
      </c>
      <c r="B1468">
        <v>2313012246</v>
      </c>
      <c r="C1468" t="str">
        <f>T("갓 오브 블랙필드 292화")</f>
        <v>갓 오브 블랙필드 292화</v>
      </c>
      <c r="D1468" t="str">
        <f>T("292")</f>
        <v>292</v>
      </c>
      <c r="E1468" t="str">
        <f t="shared" si="270"/>
        <v>무장</v>
      </c>
      <c r="H1468" t="str">
        <f t="shared" si="276"/>
        <v>스토리위즈</v>
      </c>
      <c r="I1468" t="str">
        <f t="shared" si="274"/>
        <v>갓 오브 블랙필드</v>
      </c>
      <c r="J1468">
        <v>100</v>
      </c>
      <c r="K1468">
        <v>400</v>
      </c>
      <c r="L1468">
        <v>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400</v>
      </c>
      <c r="AH1468">
        <v>4</v>
      </c>
      <c r="AI1468">
        <v>0</v>
      </c>
      <c r="AJ1468">
        <v>0</v>
      </c>
      <c r="AK1468">
        <v>400</v>
      </c>
      <c r="AL1468">
        <v>0</v>
      </c>
      <c r="AM1468">
        <v>0</v>
      </c>
      <c r="AN1468">
        <v>0</v>
      </c>
      <c r="AO1468">
        <v>0</v>
      </c>
      <c r="AP1468">
        <v>280</v>
      </c>
      <c r="AT1468" t="str">
        <f t="shared" si="275"/>
        <v>9791137602113</v>
      </c>
      <c r="AV1468" t="str">
        <f t="shared" si="273"/>
        <v>판타지 웹소설 &gt; 현대 판타지</v>
      </c>
    </row>
    <row r="1469" spans="1:48" x14ac:dyDescent="0.4">
      <c r="A1469">
        <v>2313011955</v>
      </c>
      <c r="B1469">
        <v>2313012247</v>
      </c>
      <c r="C1469" t="str">
        <f>T("갓 오브 블랙필드 293화")</f>
        <v>갓 오브 블랙필드 293화</v>
      </c>
      <c r="D1469" t="str">
        <f>T("293")</f>
        <v>293</v>
      </c>
      <c r="E1469" t="str">
        <f t="shared" si="270"/>
        <v>무장</v>
      </c>
      <c r="H1469" t="str">
        <f t="shared" si="276"/>
        <v>스토리위즈</v>
      </c>
      <c r="I1469" t="str">
        <f t="shared" si="274"/>
        <v>갓 오브 블랙필드</v>
      </c>
      <c r="J1469">
        <v>100</v>
      </c>
      <c r="K1469">
        <v>400</v>
      </c>
      <c r="L1469">
        <v>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400</v>
      </c>
      <c r="AH1469">
        <v>4</v>
      </c>
      <c r="AI1469">
        <v>0</v>
      </c>
      <c r="AJ1469">
        <v>0</v>
      </c>
      <c r="AK1469">
        <v>400</v>
      </c>
      <c r="AL1469">
        <v>0</v>
      </c>
      <c r="AM1469">
        <v>0</v>
      </c>
      <c r="AN1469">
        <v>0</v>
      </c>
      <c r="AO1469">
        <v>0</v>
      </c>
      <c r="AP1469">
        <v>280</v>
      </c>
      <c r="AT1469" t="str">
        <f t="shared" si="275"/>
        <v>9791137602113</v>
      </c>
      <c r="AV1469" t="str">
        <f t="shared" si="273"/>
        <v>판타지 웹소설 &gt; 현대 판타지</v>
      </c>
    </row>
    <row r="1470" spans="1:48" x14ac:dyDescent="0.4">
      <c r="A1470">
        <v>2313011955</v>
      </c>
      <c r="B1470">
        <v>2313012248</v>
      </c>
      <c r="C1470" t="str">
        <f>T("갓 오브 블랙필드 294화")</f>
        <v>갓 오브 블랙필드 294화</v>
      </c>
      <c r="D1470" t="str">
        <f>T("294")</f>
        <v>294</v>
      </c>
      <c r="E1470" t="str">
        <f t="shared" si="270"/>
        <v>무장</v>
      </c>
      <c r="H1470" t="str">
        <f t="shared" si="276"/>
        <v>스토리위즈</v>
      </c>
      <c r="I1470" t="str">
        <f t="shared" si="274"/>
        <v>갓 오브 블랙필드</v>
      </c>
      <c r="J1470">
        <v>100</v>
      </c>
      <c r="K1470">
        <v>400</v>
      </c>
      <c r="L1470">
        <v>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400</v>
      </c>
      <c r="AH1470">
        <v>4</v>
      </c>
      <c r="AI1470">
        <v>0</v>
      </c>
      <c r="AJ1470">
        <v>0</v>
      </c>
      <c r="AK1470">
        <v>400</v>
      </c>
      <c r="AL1470">
        <v>0</v>
      </c>
      <c r="AM1470">
        <v>0</v>
      </c>
      <c r="AN1470">
        <v>0</v>
      </c>
      <c r="AO1470">
        <v>0</v>
      </c>
      <c r="AP1470">
        <v>280</v>
      </c>
      <c r="AT1470" t="str">
        <f t="shared" si="275"/>
        <v>9791137602113</v>
      </c>
      <c r="AV1470" t="str">
        <f t="shared" si="273"/>
        <v>판타지 웹소설 &gt; 현대 판타지</v>
      </c>
    </row>
    <row r="1471" spans="1:48" x14ac:dyDescent="0.4">
      <c r="A1471">
        <v>2313011955</v>
      </c>
      <c r="B1471">
        <v>2313012249</v>
      </c>
      <c r="C1471" t="str">
        <f>T("갓 오브 블랙필드 295화")</f>
        <v>갓 오브 블랙필드 295화</v>
      </c>
      <c r="D1471" t="str">
        <f>T("295")</f>
        <v>295</v>
      </c>
      <c r="E1471" t="str">
        <f t="shared" si="270"/>
        <v>무장</v>
      </c>
      <c r="H1471" t="str">
        <f t="shared" si="276"/>
        <v>스토리위즈</v>
      </c>
      <c r="I1471" t="str">
        <f t="shared" si="274"/>
        <v>갓 오브 블랙필드</v>
      </c>
      <c r="J1471">
        <v>100</v>
      </c>
      <c r="K1471">
        <v>400</v>
      </c>
      <c r="L1471">
        <v>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400</v>
      </c>
      <c r="AH1471">
        <v>4</v>
      </c>
      <c r="AI1471">
        <v>0</v>
      </c>
      <c r="AJ1471">
        <v>0</v>
      </c>
      <c r="AK1471">
        <v>400</v>
      </c>
      <c r="AL1471">
        <v>0</v>
      </c>
      <c r="AM1471">
        <v>0</v>
      </c>
      <c r="AN1471">
        <v>0</v>
      </c>
      <c r="AO1471">
        <v>0</v>
      </c>
      <c r="AP1471">
        <v>280</v>
      </c>
      <c r="AT1471" t="str">
        <f t="shared" si="275"/>
        <v>9791137602113</v>
      </c>
      <c r="AV1471" t="str">
        <f t="shared" si="273"/>
        <v>판타지 웹소설 &gt; 현대 판타지</v>
      </c>
    </row>
    <row r="1472" spans="1:48" x14ac:dyDescent="0.4">
      <c r="A1472">
        <v>2313011955</v>
      </c>
      <c r="B1472">
        <v>2313012250</v>
      </c>
      <c r="C1472" t="str">
        <f>T("갓 오브 블랙필드 296화")</f>
        <v>갓 오브 블랙필드 296화</v>
      </c>
      <c r="D1472" t="str">
        <f>T("296")</f>
        <v>296</v>
      </c>
      <c r="E1472" t="str">
        <f t="shared" si="270"/>
        <v>무장</v>
      </c>
      <c r="H1472" t="str">
        <f t="shared" si="276"/>
        <v>스토리위즈</v>
      </c>
      <c r="I1472" t="str">
        <f t="shared" si="274"/>
        <v>갓 오브 블랙필드</v>
      </c>
      <c r="J1472">
        <v>100</v>
      </c>
      <c r="K1472">
        <v>400</v>
      </c>
      <c r="L1472">
        <v>4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400</v>
      </c>
      <c r="AH1472">
        <v>4</v>
      </c>
      <c r="AI1472">
        <v>0</v>
      </c>
      <c r="AJ1472">
        <v>0</v>
      </c>
      <c r="AK1472">
        <v>400</v>
      </c>
      <c r="AL1472">
        <v>0</v>
      </c>
      <c r="AM1472">
        <v>0</v>
      </c>
      <c r="AN1472">
        <v>0</v>
      </c>
      <c r="AO1472">
        <v>0</v>
      </c>
      <c r="AP1472">
        <v>280</v>
      </c>
      <c r="AT1472" t="str">
        <f t="shared" si="275"/>
        <v>9791137602113</v>
      </c>
      <c r="AV1472" t="str">
        <f t="shared" si="273"/>
        <v>판타지 웹소설 &gt; 현대 판타지</v>
      </c>
    </row>
    <row r="1473" spans="1:48" x14ac:dyDescent="0.4">
      <c r="A1473">
        <v>2313011955</v>
      </c>
      <c r="B1473">
        <v>2313012251</v>
      </c>
      <c r="C1473" t="str">
        <f>T("갓 오브 블랙필드 297화")</f>
        <v>갓 오브 블랙필드 297화</v>
      </c>
      <c r="D1473" t="str">
        <f>T("297")</f>
        <v>297</v>
      </c>
      <c r="E1473" t="str">
        <f t="shared" si="270"/>
        <v>무장</v>
      </c>
      <c r="H1473" t="str">
        <f t="shared" si="276"/>
        <v>스토리위즈</v>
      </c>
      <c r="I1473" t="str">
        <f t="shared" si="274"/>
        <v>갓 오브 블랙필드</v>
      </c>
      <c r="J1473">
        <v>100</v>
      </c>
      <c r="K1473">
        <v>400</v>
      </c>
      <c r="L1473">
        <v>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400</v>
      </c>
      <c r="AH1473">
        <v>4</v>
      </c>
      <c r="AI1473">
        <v>0</v>
      </c>
      <c r="AJ1473">
        <v>0</v>
      </c>
      <c r="AK1473">
        <v>400</v>
      </c>
      <c r="AL1473">
        <v>0</v>
      </c>
      <c r="AM1473">
        <v>0</v>
      </c>
      <c r="AN1473">
        <v>0</v>
      </c>
      <c r="AO1473">
        <v>0</v>
      </c>
      <c r="AP1473">
        <v>280</v>
      </c>
      <c r="AT1473" t="str">
        <f t="shared" si="275"/>
        <v>9791137602113</v>
      </c>
      <c r="AV1473" t="str">
        <f t="shared" si="273"/>
        <v>판타지 웹소설 &gt; 현대 판타지</v>
      </c>
    </row>
    <row r="1474" spans="1:48" x14ac:dyDescent="0.4">
      <c r="A1474">
        <v>2313011955</v>
      </c>
      <c r="B1474">
        <v>2313012252</v>
      </c>
      <c r="C1474" t="str">
        <f>T("갓 오브 블랙필드 298화")</f>
        <v>갓 오브 블랙필드 298화</v>
      </c>
      <c r="D1474" t="str">
        <f>T("298")</f>
        <v>298</v>
      </c>
      <c r="E1474" t="str">
        <f t="shared" si="270"/>
        <v>무장</v>
      </c>
      <c r="H1474" t="str">
        <f t="shared" si="276"/>
        <v>스토리위즈</v>
      </c>
      <c r="I1474" t="str">
        <f t="shared" si="274"/>
        <v>갓 오브 블랙필드</v>
      </c>
      <c r="J1474">
        <v>100</v>
      </c>
      <c r="K1474">
        <v>400</v>
      </c>
      <c r="L1474">
        <v>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400</v>
      </c>
      <c r="AH1474">
        <v>4</v>
      </c>
      <c r="AI1474">
        <v>0</v>
      </c>
      <c r="AJ1474">
        <v>0</v>
      </c>
      <c r="AK1474">
        <v>400</v>
      </c>
      <c r="AL1474">
        <v>0</v>
      </c>
      <c r="AM1474">
        <v>0</v>
      </c>
      <c r="AN1474">
        <v>0</v>
      </c>
      <c r="AO1474">
        <v>0</v>
      </c>
      <c r="AP1474">
        <v>280</v>
      </c>
      <c r="AT1474" t="str">
        <f t="shared" si="275"/>
        <v>9791137602113</v>
      </c>
      <c r="AV1474" t="str">
        <f t="shared" si="273"/>
        <v>판타지 웹소설 &gt; 현대 판타지</v>
      </c>
    </row>
    <row r="1475" spans="1:48" x14ac:dyDescent="0.4">
      <c r="A1475">
        <v>2313011955</v>
      </c>
      <c r="B1475">
        <v>2313012253</v>
      </c>
      <c r="C1475" t="str">
        <f>T("갓 오브 블랙필드 299화")</f>
        <v>갓 오브 블랙필드 299화</v>
      </c>
      <c r="D1475" t="str">
        <f>T("299")</f>
        <v>299</v>
      </c>
      <c r="E1475" t="str">
        <f t="shared" si="270"/>
        <v>무장</v>
      </c>
      <c r="H1475" t="str">
        <f t="shared" si="276"/>
        <v>스토리위즈</v>
      </c>
      <c r="I1475" t="str">
        <f t="shared" si="274"/>
        <v>갓 오브 블랙필드</v>
      </c>
      <c r="J1475">
        <v>100</v>
      </c>
      <c r="K1475">
        <v>400</v>
      </c>
      <c r="L1475"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400</v>
      </c>
      <c r="AH1475">
        <v>4</v>
      </c>
      <c r="AI1475">
        <v>0</v>
      </c>
      <c r="AJ1475">
        <v>0</v>
      </c>
      <c r="AK1475">
        <v>400</v>
      </c>
      <c r="AL1475">
        <v>0</v>
      </c>
      <c r="AM1475">
        <v>0</v>
      </c>
      <c r="AN1475">
        <v>0</v>
      </c>
      <c r="AO1475">
        <v>0</v>
      </c>
      <c r="AP1475">
        <v>280</v>
      </c>
      <c r="AT1475" t="str">
        <f t="shared" si="275"/>
        <v>9791137602113</v>
      </c>
      <c r="AV1475" t="str">
        <f t="shared" si="273"/>
        <v>판타지 웹소설 &gt; 현대 판타지</v>
      </c>
    </row>
    <row r="1476" spans="1:48" x14ac:dyDescent="0.4">
      <c r="A1476">
        <v>2313011955</v>
      </c>
      <c r="B1476">
        <v>2313012254</v>
      </c>
      <c r="C1476" t="str">
        <f>T("갓 오브 블랙필드 300화")</f>
        <v>갓 오브 블랙필드 300화</v>
      </c>
      <c r="D1476" t="str">
        <f>T("300")</f>
        <v>300</v>
      </c>
      <c r="E1476" t="str">
        <f t="shared" si="270"/>
        <v>무장</v>
      </c>
      <c r="H1476" t="str">
        <f t="shared" si="276"/>
        <v>스토리위즈</v>
      </c>
      <c r="I1476" t="str">
        <f t="shared" si="274"/>
        <v>갓 오브 블랙필드</v>
      </c>
      <c r="J1476">
        <v>100</v>
      </c>
      <c r="K1476">
        <v>400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400</v>
      </c>
      <c r="AH1476">
        <v>4</v>
      </c>
      <c r="AI1476">
        <v>0</v>
      </c>
      <c r="AJ1476">
        <v>0</v>
      </c>
      <c r="AK1476">
        <v>400</v>
      </c>
      <c r="AL1476">
        <v>0</v>
      </c>
      <c r="AM1476">
        <v>0</v>
      </c>
      <c r="AN1476">
        <v>0</v>
      </c>
      <c r="AO1476">
        <v>0</v>
      </c>
      <c r="AP1476">
        <v>280</v>
      </c>
      <c r="AT1476" t="str">
        <f t="shared" si="275"/>
        <v>9791137602113</v>
      </c>
      <c r="AV1476" t="str">
        <f t="shared" si="273"/>
        <v>판타지 웹소설 &gt; 현대 판타지</v>
      </c>
    </row>
    <row r="1477" spans="1:48" x14ac:dyDescent="0.4">
      <c r="A1477">
        <v>2313011955</v>
      </c>
      <c r="B1477">
        <v>2313012255</v>
      </c>
      <c r="C1477" t="str">
        <f>T("갓 오브 블랙필드 301화")</f>
        <v>갓 오브 블랙필드 301화</v>
      </c>
      <c r="D1477" t="str">
        <f>T("301")</f>
        <v>301</v>
      </c>
      <c r="E1477" t="str">
        <f t="shared" si="270"/>
        <v>무장</v>
      </c>
      <c r="H1477" t="str">
        <f t="shared" si="276"/>
        <v>스토리위즈</v>
      </c>
      <c r="I1477" t="str">
        <f t="shared" si="274"/>
        <v>갓 오브 블랙필드</v>
      </c>
      <c r="J1477">
        <v>100</v>
      </c>
      <c r="K1477">
        <v>400</v>
      </c>
      <c r="L1477">
        <v>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400</v>
      </c>
      <c r="AH1477">
        <v>4</v>
      </c>
      <c r="AI1477">
        <v>0</v>
      </c>
      <c r="AJ1477">
        <v>0</v>
      </c>
      <c r="AK1477">
        <v>400</v>
      </c>
      <c r="AL1477">
        <v>0</v>
      </c>
      <c r="AM1477">
        <v>0</v>
      </c>
      <c r="AN1477">
        <v>0</v>
      </c>
      <c r="AO1477">
        <v>0</v>
      </c>
      <c r="AP1477">
        <v>280</v>
      </c>
      <c r="AT1477" t="str">
        <f t="shared" si="275"/>
        <v>9791137602113</v>
      </c>
      <c r="AV1477" t="str">
        <f t="shared" si="273"/>
        <v>판타지 웹소설 &gt; 현대 판타지</v>
      </c>
    </row>
    <row r="1478" spans="1:48" x14ac:dyDescent="0.4">
      <c r="A1478">
        <v>2313011955</v>
      </c>
      <c r="B1478">
        <v>2313012256</v>
      </c>
      <c r="C1478" t="str">
        <f>T("갓 오브 블랙필드 302화")</f>
        <v>갓 오브 블랙필드 302화</v>
      </c>
      <c r="D1478" t="str">
        <f>T("302")</f>
        <v>302</v>
      </c>
      <c r="E1478" t="str">
        <f t="shared" si="270"/>
        <v>무장</v>
      </c>
      <c r="H1478" t="str">
        <f t="shared" si="276"/>
        <v>스토리위즈</v>
      </c>
      <c r="I1478" t="str">
        <f t="shared" si="274"/>
        <v>갓 오브 블랙필드</v>
      </c>
      <c r="J1478">
        <v>100</v>
      </c>
      <c r="K1478">
        <v>400</v>
      </c>
      <c r="L1478">
        <v>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400</v>
      </c>
      <c r="AH1478">
        <v>4</v>
      </c>
      <c r="AI1478">
        <v>0</v>
      </c>
      <c r="AJ1478">
        <v>0</v>
      </c>
      <c r="AK1478">
        <v>400</v>
      </c>
      <c r="AL1478">
        <v>0</v>
      </c>
      <c r="AM1478">
        <v>0</v>
      </c>
      <c r="AN1478">
        <v>0</v>
      </c>
      <c r="AO1478">
        <v>0</v>
      </c>
      <c r="AP1478">
        <v>280</v>
      </c>
      <c r="AT1478" t="str">
        <f t="shared" si="275"/>
        <v>9791137602113</v>
      </c>
      <c r="AV1478" t="str">
        <f t="shared" si="273"/>
        <v>판타지 웹소설 &gt; 현대 판타지</v>
      </c>
    </row>
    <row r="1479" spans="1:48" x14ac:dyDescent="0.4">
      <c r="A1479">
        <v>2313011955</v>
      </c>
      <c r="B1479">
        <v>2313012257</v>
      </c>
      <c r="C1479" t="str">
        <f>T("갓 오브 블랙필드 303화")</f>
        <v>갓 오브 블랙필드 303화</v>
      </c>
      <c r="D1479" t="str">
        <f>T("303")</f>
        <v>303</v>
      </c>
      <c r="E1479" t="str">
        <f t="shared" si="270"/>
        <v>무장</v>
      </c>
      <c r="H1479" t="str">
        <f t="shared" si="276"/>
        <v>스토리위즈</v>
      </c>
      <c r="I1479" t="str">
        <f t="shared" si="274"/>
        <v>갓 오브 블랙필드</v>
      </c>
      <c r="J1479">
        <v>100</v>
      </c>
      <c r="K1479">
        <v>400</v>
      </c>
      <c r="L1479">
        <v>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400</v>
      </c>
      <c r="AH1479">
        <v>4</v>
      </c>
      <c r="AI1479">
        <v>0</v>
      </c>
      <c r="AJ1479">
        <v>0</v>
      </c>
      <c r="AK1479">
        <v>400</v>
      </c>
      <c r="AL1479">
        <v>0</v>
      </c>
      <c r="AM1479">
        <v>0</v>
      </c>
      <c r="AN1479">
        <v>0</v>
      </c>
      <c r="AO1479">
        <v>0</v>
      </c>
      <c r="AP1479">
        <v>280</v>
      </c>
      <c r="AT1479" t="str">
        <f t="shared" si="275"/>
        <v>9791137602113</v>
      </c>
      <c r="AV1479" t="str">
        <f t="shared" si="273"/>
        <v>판타지 웹소설 &gt; 현대 판타지</v>
      </c>
    </row>
    <row r="1480" spans="1:48" x14ac:dyDescent="0.4">
      <c r="A1480">
        <v>2313011955</v>
      </c>
      <c r="B1480">
        <v>2313012258</v>
      </c>
      <c r="C1480" t="str">
        <f>T("갓 오브 블랙필드 304화")</f>
        <v>갓 오브 블랙필드 304화</v>
      </c>
      <c r="D1480" t="str">
        <f>T("304")</f>
        <v>304</v>
      </c>
      <c r="E1480" t="str">
        <f t="shared" si="270"/>
        <v>무장</v>
      </c>
      <c r="H1480" t="str">
        <f t="shared" si="276"/>
        <v>스토리위즈</v>
      </c>
      <c r="I1480" t="str">
        <f t="shared" si="274"/>
        <v>갓 오브 블랙필드</v>
      </c>
      <c r="J1480">
        <v>100</v>
      </c>
      <c r="K1480">
        <v>400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400</v>
      </c>
      <c r="AH1480">
        <v>4</v>
      </c>
      <c r="AI1480">
        <v>0</v>
      </c>
      <c r="AJ1480">
        <v>0</v>
      </c>
      <c r="AK1480">
        <v>400</v>
      </c>
      <c r="AL1480">
        <v>0</v>
      </c>
      <c r="AM1480">
        <v>0</v>
      </c>
      <c r="AN1480">
        <v>0</v>
      </c>
      <c r="AO1480">
        <v>0</v>
      </c>
      <c r="AP1480">
        <v>280</v>
      </c>
      <c r="AT1480" t="str">
        <f t="shared" si="275"/>
        <v>9791137602113</v>
      </c>
      <c r="AV1480" t="str">
        <f t="shared" si="273"/>
        <v>판타지 웹소설 &gt; 현대 판타지</v>
      </c>
    </row>
    <row r="1481" spans="1:48" x14ac:dyDescent="0.4">
      <c r="A1481">
        <v>2313011955</v>
      </c>
      <c r="B1481">
        <v>2313012259</v>
      </c>
      <c r="C1481" t="str">
        <f>T("갓 오브 블랙필드 305화")</f>
        <v>갓 오브 블랙필드 305화</v>
      </c>
      <c r="D1481" t="str">
        <f>T("305")</f>
        <v>305</v>
      </c>
      <c r="E1481" t="str">
        <f t="shared" ref="E1481:E1544" si="277">T("무장")</f>
        <v>무장</v>
      </c>
      <c r="H1481" t="str">
        <f t="shared" si="276"/>
        <v>스토리위즈</v>
      </c>
      <c r="I1481" t="str">
        <f t="shared" si="274"/>
        <v>갓 오브 블랙필드</v>
      </c>
      <c r="J1481">
        <v>100</v>
      </c>
      <c r="K1481">
        <v>400</v>
      </c>
      <c r="L1481">
        <v>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400</v>
      </c>
      <c r="AH1481">
        <v>4</v>
      </c>
      <c r="AI1481">
        <v>0</v>
      </c>
      <c r="AJ1481">
        <v>0</v>
      </c>
      <c r="AK1481">
        <v>400</v>
      </c>
      <c r="AL1481">
        <v>0</v>
      </c>
      <c r="AM1481">
        <v>0</v>
      </c>
      <c r="AN1481">
        <v>0</v>
      </c>
      <c r="AO1481">
        <v>0</v>
      </c>
      <c r="AP1481">
        <v>280</v>
      </c>
      <c r="AT1481" t="str">
        <f t="shared" si="275"/>
        <v>9791137602113</v>
      </c>
      <c r="AV1481" t="str">
        <f t="shared" ref="AV1481:AV1544" si="278">T("판타지 웹소설 &gt; 현대 판타지")</f>
        <v>판타지 웹소설 &gt; 현대 판타지</v>
      </c>
    </row>
    <row r="1482" spans="1:48" x14ac:dyDescent="0.4">
      <c r="A1482">
        <v>2313011955</v>
      </c>
      <c r="B1482">
        <v>2313012260</v>
      </c>
      <c r="C1482" t="str">
        <f>T("갓 오브 블랙필드 306화")</f>
        <v>갓 오브 블랙필드 306화</v>
      </c>
      <c r="D1482" t="str">
        <f>T("306")</f>
        <v>306</v>
      </c>
      <c r="E1482" t="str">
        <f t="shared" si="277"/>
        <v>무장</v>
      </c>
      <c r="H1482" t="str">
        <f t="shared" si="276"/>
        <v>스토리위즈</v>
      </c>
      <c r="I1482" t="str">
        <f t="shared" si="274"/>
        <v>갓 오브 블랙필드</v>
      </c>
      <c r="J1482">
        <v>100</v>
      </c>
      <c r="K1482">
        <v>400</v>
      </c>
      <c r="L1482">
        <v>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400</v>
      </c>
      <c r="AH1482">
        <v>4</v>
      </c>
      <c r="AI1482">
        <v>0</v>
      </c>
      <c r="AJ1482">
        <v>0</v>
      </c>
      <c r="AK1482">
        <v>400</v>
      </c>
      <c r="AL1482">
        <v>0</v>
      </c>
      <c r="AM1482">
        <v>0</v>
      </c>
      <c r="AN1482">
        <v>0</v>
      </c>
      <c r="AO1482">
        <v>0</v>
      </c>
      <c r="AP1482">
        <v>280</v>
      </c>
      <c r="AT1482" t="str">
        <f t="shared" si="275"/>
        <v>9791137602113</v>
      </c>
      <c r="AV1482" t="str">
        <f t="shared" si="278"/>
        <v>판타지 웹소설 &gt; 현대 판타지</v>
      </c>
    </row>
    <row r="1483" spans="1:48" x14ac:dyDescent="0.4">
      <c r="A1483">
        <v>2313011955</v>
      </c>
      <c r="B1483">
        <v>2313012261</v>
      </c>
      <c r="C1483" t="str">
        <f>T("갓 오브 블랙필드 307화")</f>
        <v>갓 오브 블랙필드 307화</v>
      </c>
      <c r="D1483" t="str">
        <f>T("307")</f>
        <v>307</v>
      </c>
      <c r="E1483" t="str">
        <f t="shared" si="277"/>
        <v>무장</v>
      </c>
      <c r="H1483" t="str">
        <f t="shared" si="276"/>
        <v>스토리위즈</v>
      </c>
      <c r="I1483" t="str">
        <f t="shared" si="274"/>
        <v>갓 오브 블랙필드</v>
      </c>
      <c r="J1483">
        <v>100</v>
      </c>
      <c r="K1483">
        <v>400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400</v>
      </c>
      <c r="AH1483">
        <v>4</v>
      </c>
      <c r="AI1483">
        <v>0</v>
      </c>
      <c r="AJ1483">
        <v>0</v>
      </c>
      <c r="AK1483">
        <v>400</v>
      </c>
      <c r="AL1483">
        <v>0</v>
      </c>
      <c r="AM1483">
        <v>0</v>
      </c>
      <c r="AN1483">
        <v>0</v>
      </c>
      <c r="AO1483">
        <v>0</v>
      </c>
      <c r="AP1483">
        <v>280</v>
      </c>
      <c r="AT1483" t="str">
        <f t="shared" si="275"/>
        <v>9791137602113</v>
      </c>
      <c r="AV1483" t="str">
        <f t="shared" si="278"/>
        <v>판타지 웹소설 &gt; 현대 판타지</v>
      </c>
    </row>
    <row r="1484" spans="1:48" x14ac:dyDescent="0.4">
      <c r="A1484">
        <v>2313011955</v>
      </c>
      <c r="B1484">
        <v>2313012262</v>
      </c>
      <c r="C1484" t="str">
        <f>T("갓 오브 블랙필드 308화")</f>
        <v>갓 오브 블랙필드 308화</v>
      </c>
      <c r="D1484" t="str">
        <f>T("308")</f>
        <v>308</v>
      </c>
      <c r="E1484" t="str">
        <f t="shared" si="277"/>
        <v>무장</v>
      </c>
      <c r="H1484" t="str">
        <f t="shared" si="276"/>
        <v>스토리위즈</v>
      </c>
      <c r="I1484" t="str">
        <f t="shared" si="274"/>
        <v>갓 오브 블랙필드</v>
      </c>
      <c r="J1484">
        <v>100</v>
      </c>
      <c r="K1484">
        <v>400</v>
      </c>
      <c r="L1484">
        <v>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400</v>
      </c>
      <c r="AH1484">
        <v>4</v>
      </c>
      <c r="AI1484">
        <v>0</v>
      </c>
      <c r="AJ1484">
        <v>0</v>
      </c>
      <c r="AK1484">
        <v>400</v>
      </c>
      <c r="AL1484">
        <v>0</v>
      </c>
      <c r="AM1484">
        <v>0</v>
      </c>
      <c r="AN1484">
        <v>0</v>
      </c>
      <c r="AO1484">
        <v>0</v>
      </c>
      <c r="AP1484">
        <v>280</v>
      </c>
      <c r="AT1484" t="str">
        <f t="shared" si="275"/>
        <v>9791137602113</v>
      </c>
      <c r="AV1484" t="str">
        <f t="shared" si="278"/>
        <v>판타지 웹소설 &gt; 현대 판타지</v>
      </c>
    </row>
    <row r="1485" spans="1:48" x14ac:dyDescent="0.4">
      <c r="A1485">
        <v>2313011955</v>
      </c>
      <c r="B1485">
        <v>2313012263</v>
      </c>
      <c r="C1485" t="str">
        <f>T("갓 오브 블랙필드 309화")</f>
        <v>갓 오브 블랙필드 309화</v>
      </c>
      <c r="D1485" t="str">
        <f>T("309")</f>
        <v>309</v>
      </c>
      <c r="E1485" t="str">
        <f t="shared" si="277"/>
        <v>무장</v>
      </c>
      <c r="H1485" t="str">
        <f t="shared" si="276"/>
        <v>스토리위즈</v>
      </c>
      <c r="I1485" t="str">
        <f t="shared" si="274"/>
        <v>갓 오브 블랙필드</v>
      </c>
      <c r="J1485">
        <v>100</v>
      </c>
      <c r="K1485">
        <v>400</v>
      </c>
      <c r="L1485">
        <v>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400</v>
      </c>
      <c r="AH1485">
        <v>4</v>
      </c>
      <c r="AI1485">
        <v>0</v>
      </c>
      <c r="AJ1485">
        <v>0</v>
      </c>
      <c r="AK1485">
        <v>400</v>
      </c>
      <c r="AL1485">
        <v>0</v>
      </c>
      <c r="AM1485">
        <v>0</v>
      </c>
      <c r="AN1485">
        <v>0</v>
      </c>
      <c r="AO1485">
        <v>0</v>
      </c>
      <c r="AP1485">
        <v>280</v>
      </c>
      <c r="AT1485" t="str">
        <f t="shared" si="275"/>
        <v>9791137602113</v>
      </c>
      <c r="AV1485" t="str">
        <f t="shared" si="278"/>
        <v>판타지 웹소설 &gt; 현대 판타지</v>
      </c>
    </row>
    <row r="1486" spans="1:48" x14ac:dyDescent="0.4">
      <c r="A1486">
        <v>2313011955</v>
      </c>
      <c r="B1486">
        <v>2313012264</v>
      </c>
      <c r="C1486" t="str">
        <f>T("갓 오브 블랙필드 310화")</f>
        <v>갓 오브 블랙필드 310화</v>
      </c>
      <c r="D1486" t="str">
        <f>T("310")</f>
        <v>310</v>
      </c>
      <c r="E1486" t="str">
        <f t="shared" si="277"/>
        <v>무장</v>
      </c>
      <c r="H1486" t="str">
        <f t="shared" si="276"/>
        <v>스토리위즈</v>
      </c>
      <c r="I1486" t="str">
        <f t="shared" si="274"/>
        <v>갓 오브 블랙필드</v>
      </c>
      <c r="J1486">
        <v>100</v>
      </c>
      <c r="K1486">
        <v>400</v>
      </c>
      <c r="L1486">
        <v>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400</v>
      </c>
      <c r="AH1486">
        <v>4</v>
      </c>
      <c r="AI1486">
        <v>0</v>
      </c>
      <c r="AJ1486">
        <v>0</v>
      </c>
      <c r="AK1486">
        <v>400</v>
      </c>
      <c r="AL1486">
        <v>0</v>
      </c>
      <c r="AM1486">
        <v>0</v>
      </c>
      <c r="AN1486">
        <v>0</v>
      </c>
      <c r="AO1486">
        <v>0</v>
      </c>
      <c r="AP1486">
        <v>280</v>
      </c>
      <c r="AT1486" t="str">
        <f t="shared" si="275"/>
        <v>9791137602113</v>
      </c>
      <c r="AV1486" t="str">
        <f t="shared" si="278"/>
        <v>판타지 웹소설 &gt; 현대 판타지</v>
      </c>
    </row>
    <row r="1487" spans="1:48" x14ac:dyDescent="0.4">
      <c r="A1487">
        <v>2313011955</v>
      </c>
      <c r="B1487">
        <v>2313012265</v>
      </c>
      <c r="C1487" t="str">
        <f>T("갓 오브 블랙필드 311화")</f>
        <v>갓 오브 블랙필드 311화</v>
      </c>
      <c r="D1487" t="str">
        <f>T("311")</f>
        <v>311</v>
      </c>
      <c r="E1487" t="str">
        <f t="shared" si="277"/>
        <v>무장</v>
      </c>
      <c r="H1487" t="str">
        <f t="shared" si="276"/>
        <v>스토리위즈</v>
      </c>
      <c r="I1487" t="str">
        <f t="shared" si="274"/>
        <v>갓 오브 블랙필드</v>
      </c>
      <c r="J1487">
        <v>100</v>
      </c>
      <c r="K1487">
        <v>400</v>
      </c>
      <c r="L1487">
        <v>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400</v>
      </c>
      <c r="AH1487">
        <v>4</v>
      </c>
      <c r="AI1487">
        <v>0</v>
      </c>
      <c r="AJ1487">
        <v>0</v>
      </c>
      <c r="AK1487">
        <v>400</v>
      </c>
      <c r="AL1487">
        <v>0</v>
      </c>
      <c r="AM1487">
        <v>0</v>
      </c>
      <c r="AN1487">
        <v>0</v>
      </c>
      <c r="AO1487">
        <v>0</v>
      </c>
      <c r="AP1487">
        <v>280</v>
      </c>
      <c r="AT1487" t="str">
        <f t="shared" si="275"/>
        <v>9791137602113</v>
      </c>
      <c r="AV1487" t="str">
        <f t="shared" si="278"/>
        <v>판타지 웹소설 &gt; 현대 판타지</v>
      </c>
    </row>
    <row r="1488" spans="1:48" x14ac:dyDescent="0.4">
      <c r="A1488">
        <v>2313011955</v>
      </c>
      <c r="B1488">
        <v>2313012266</v>
      </c>
      <c r="C1488" t="str">
        <f>T("갓 오브 블랙필드 312화")</f>
        <v>갓 오브 블랙필드 312화</v>
      </c>
      <c r="D1488" t="str">
        <f>T("312")</f>
        <v>312</v>
      </c>
      <c r="E1488" t="str">
        <f t="shared" si="277"/>
        <v>무장</v>
      </c>
      <c r="H1488" t="str">
        <f t="shared" si="276"/>
        <v>스토리위즈</v>
      </c>
      <c r="I1488" t="str">
        <f t="shared" si="274"/>
        <v>갓 오브 블랙필드</v>
      </c>
      <c r="J1488">
        <v>100</v>
      </c>
      <c r="K1488">
        <v>400</v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400</v>
      </c>
      <c r="AH1488">
        <v>4</v>
      </c>
      <c r="AI1488">
        <v>0</v>
      </c>
      <c r="AJ1488">
        <v>0</v>
      </c>
      <c r="AK1488">
        <v>400</v>
      </c>
      <c r="AL1488">
        <v>0</v>
      </c>
      <c r="AM1488">
        <v>0</v>
      </c>
      <c r="AN1488">
        <v>0</v>
      </c>
      <c r="AO1488">
        <v>0</v>
      </c>
      <c r="AP1488">
        <v>280</v>
      </c>
      <c r="AT1488" t="str">
        <f t="shared" si="275"/>
        <v>9791137602113</v>
      </c>
      <c r="AV1488" t="str">
        <f t="shared" si="278"/>
        <v>판타지 웹소설 &gt; 현대 판타지</v>
      </c>
    </row>
    <row r="1489" spans="1:48" x14ac:dyDescent="0.4">
      <c r="A1489">
        <v>2313011955</v>
      </c>
      <c r="B1489">
        <v>2313012267</v>
      </c>
      <c r="C1489" t="str">
        <f>T("갓 오브 블랙필드 313화")</f>
        <v>갓 오브 블랙필드 313화</v>
      </c>
      <c r="D1489" t="str">
        <f>T("313")</f>
        <v>313</v>
      </c>
      <c r="E1489" t="str">
        <f t="shared" si="277"/>
        <v>무장</v>
      </c>
      <c r="H1489" t="str">
        <f t="shared" si="276"/>
        <v>스토리위즈</v>
      </c>
      <c r="I1489" t="str">
        <f t="shared" si="274"/>
        <v>갓 오브 블랙필드</v>
      </c>
      <c r="J1489">
        <v>100</v>
      </c>
      <c r="K1489">
        <v>400</v>
      </c>
      <c r="L1489">
        <v>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400</v>
      </c>
      <c r="AH1489">
        <v>4</v>
      </c>
      <c r="AI1489">
        <v>0</v>
      </c>
      <c r="AJ1489">
        <v>0</v>
      </c>
      <c r="AK1489">
        <v>400</v>
      </c>
      <c r="AL1489">
        <v>0</v>
      </c>
      <c r="AM1489">
        <v>0</v>
      </c>
      <c r="AN1489">
        <v>0</v>
      </c>
      <c r="AO1489">
        <v>0</v>
      </c>
      <c r="AP1489">
        <v>280</v>
      </c>
      <c r="AT1489" t="str">
        <f t="shared" si="275"/>
        <v>9791137602113</v>
      </c>
      <c r="AV1489" t="str">
        <f t="shared" si="278"/>
        <v>판타지 웹소설 &gt; 현대 판타지</v>
      </c>
    </row>
    <row r="1490" spans="1:48" x14ac:dyDescent="0.4">
      <c r="A1490">
        <v>2313011955</v>
      </c>
      <c r="B1490">
        <v>2313012268</v>
      </c>
      <c r="C1490" t="str">
        <f>T("갓 오브 블랙필드 314화")</f>
        <v>갓 오브 블랙필드 314화</v>
      </c>
      <c r="D1490" t="str">
        <f>T("314")</f>
        <v>314</v>
      </c>
      <c r="E1490" t="str">
        <f t="shared" si="277"/>
        <v>무장</v>
      </c>
      <c r="H1490" t="str">
        <f t="shared" si="276"/>
        <v>스토리위즈</v>
      </c>
      <c r="I1490" t="str">
        <f t="shared" si="274"/>
        <v>갓 오브 블랙필드</v>
      </c>
      <c r="J1490">
        <v>100</v>
      </c>
      <c r="K1490">
        <v>400</v>
      </c>
      <c r="L1490">
        <v>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400</v>
      </c>
      <c r="AH1490">
        <v>4</v>
      </c>
      <c r="AI1490">
        <v>0</v>
      </c>
      <c r="AJ1490">
        <v>0</v>
      </c>
      <c r="AK1490">
        <v>400</v>
      </c>
      <c r="AL1490">
        <v>0</v>
      </c>
      <c r="AM1490">
        <v>0</v>
      </c>
      <c r="AN1490">
        <v>0</v>
      </c>
      <c r="AO1490">
        <v>0</v>
      </c>
      <c r="AP1490">
        <v>280</v>
      </c>
      <c r="AT1490" t="str">
        <f t="shared" si="275"/>
        <v>9791137602113</v>
      </c>
      <c r="AV1490" t="str">
        <f t="shared" si="278"/>
        <v>판타지 웹소설 &gt; 현대 판타지</v>
      </c>
    </row>
    <row r="1491" spans="1:48" x14ac:dyDescent="0.4">
      <c r="A1491">
        <v>2313011955</v>
      </c>
      <c r="B1491">
        <v>2313012269</v>
      </c>
      <c r="C1491" t="str">
        <f>T("갓 오브 블랙필드 315화")</f>
        <v>갓 오브 블랙필드 315화</v>
      </c>
      <c r="D1491" t="str">
        <f>T("315")</f>
        <v>315</v>
      </c>
      <c r="E1491" t="str">
        <f t="shared" si="277"/>
        <v>무장</v>
      </c>
      <c r="H1491" t="str">
        <f t="shared" si="276"/>
        <v>스토리위즈</v>
      </c>
      <c r="I1491" t="str">
        <f t="shared" si="274"/>
        <v>갓 오브 블랙필드</v>
      </c>
      <c r="J1491">
        <v>100</v>
      </c>
      <c r="K1491">
        <v>400</v>
      </c>
      <c r="L1491">
        <v>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400</v>
      </c>
      <c r="AH1491">
        <v>4</v>
      </c>
      <c r="AI1491">
        <v>0</v>
      </c>
      <c r="AJ1491">
        <v>0</v>
      </c>
      <c r="AK1491">
        <v>400</v>
      </c>
      <c r="AL1491">
        <v>0</v>
      </c>
      <c r="AM1491">
        <v>0</v>
      </c>
      <c r="AN1491">
        <v>0</v>
      </c>
      <c r="AO1491">
        <v>0</v>
      </c>
      <c r="AP1491">
        <v>280</v>
      </c>
      <c r="AT1491" t="str">
        <f t="shared" si="275"/>
        <v>9791137602113</v>
      </c>
      <c r="AV1491" t="str">
        <f t="shared" si="278"/>
        <v>판타지 웹소설 &gt; 현대 판타지</v>
      </c>
    </row>
    <row r="1492" spans="1:48" x14ac:dyDescent="0.4">
      <c r="A1492">
        <v>2313011955</v>
      </c>
      <c r="B1492">
        <v>2313012270</v>
      </c>
      <c r="C1492" t="str">
        <f>T("갓 오브 블랙필드 316화")</f>
        <v>갓 오브 블랙필드 316화</v>
      </c>
      <c r="D1492" t="str">
        <f>T("316")</f>
        <v>316</v>
      </c>
      <c r="E1492" t="str">
        <f t="shared" si="277"/>
        <v>무장</v>
      </c>
      <c r="H1492" t="str">
        <f t="shared" si="276"/>
        <v>스토리위즈</v>
      </c>
      <c r="I1492" t="str">
        <f t="shared" si="274"/>
        <v>갓 오브 블랙필드</v>
      </c>
      <c r="J1492">
        <v>100</v>
      </c>
      <c r="K1492">
        <v>400</v>
      </c>
      <c r="L1492">
        <v>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400</v>
      </c>
      <c r="AH1492">
        <v>4</v>
      </c>
      <c r="AI1492">
        <v>0</v>
      </c>
      <c r="AJ1492">
        <v>0</v>
      </c>
      <c r="AK1492">
        <v>400</v>
      </c>
      <c r="AL1492">
        <v>0</v>
      </c>
      <c r="AM1492">
        <v>0</v>
      </c>
      <c r="AN1492">
        <v>0</v>
      </c>
      <c r="AO1492">
        <v>0</v>
      </c>
      <c r="AP1492">
        <v>280</v>
      </c>
      <c r="AT1492" t="str">
        <f t="shared" si="275"/>
        <v>9791137602113</v>
      </c>
      <c r="AV1492" t="str">
        <f t="shared" si="278"/>
        <v>판타지 웹소설 &gt; 현대 판타지</v>
      </c>
    </row>
    <row r="1493" spans="1:48" x14ac:dyDescent="0.4">
      <c r="A1493">
        <v>2313011955</v>
      </c>
      <c r="B1493">
        <v>2313012271</v>
      </c>
      <c r="C1493" t="str">
        <f>T("갓 오브 블랙필드 317화")</f>
        <v>갓 오브 블랙필드 317화</v>
      </c>
      <c r="D1493" t="str">
        <f>T("317")</f>
        <v>317</v>
      </c>
      <c r="E1493" t="str">
        <f t="shared" si="277"/>
        <v>무장</v>
      </c>
      <c r="H1493" t="str">
        <f t="shared" si="276"/>
        <v>스토리위즈</v>
      </c>
      <c r="I1493" t="str">
        <f t="shared" si="274"/>
        <v>갓 오브 블랙필드</v>
      </c>
      <c r="J1493">
        <v>100</v>
      </c>
      <c r="K1493">
        <v>400</v>
      </c>
      <c r="L1493">
        <v>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400</v>
      </c>
      <c r="AH1493">
        <v>4</v>
      </c>
      <c r="AI1493">
        <v>0</v>
      </c>
      <c r="AJ1493">
        <v>0</v>
      </c>
      <c r="AK1493">
        <v>400</v>
      </c>
      <c r="AL1493">
        <v>0</v>
      </c>
      <c r="AM1493">
        <v>0</v>
      </c>
      <c r="AN1493">
        <v>0</v>
      </c>
      <c r="AO1493">
        <v>0</v>
      </c>
      <c r="AP1493">
        <v>280</v>
      </c>
      <c r="AT1493" t="str">
        <f t="shared" si="275"/>
        <v>9791137602113</v>
      </c>
      <c r="AV1493" t="str">
        <f t="shared" si="278"/>
        <v>판타지 웹소설 &gt; 현대 판타지</v>
      </c>
    </row>
    <row r="1494" spans="1:48" x14ac:dyDescent="0.4">
      <c r="A1494">
        <v>2313011955</v>
      </c>
      <c r="B1494">
        <v>2313012272</v>
      </c>
      <c r="C1494" t="str">
        <f>T("갓 오브 블랙필드 318화")</f>
        <v>갓 오브 블랙필드 318화</v>
      </c>
      <c r="D1494" t="str">
        <f>T("318")</f>
        <v>318</v>
      </c>
      <c r="E1494" t="str">
        <f t="shared" si="277"/>
        <v>무장</v>
      </c>
      <c r="H1494" t="str">
        <f t="shared" si="276"/>
        <v>스토리위즈</v>
      </c>
      <c r="I1494" t="str">
        <f t="shared" si="274"/>
        <v>갓 오브 블랙필드</v>
      </c>
      <c r="J1494">
        <v>100</v>
      </c>
      <c r="K1494">
        <v>400</v>
      </c>
      <c r="L1494">
        <v>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400</v>
      </c>
      <c r="AH1494">
        <v>4</v>
      </c>
      <c r="AI1494">
        <v>0</v>
      </c>
      <c r="AJ1494">
        <v>0</v>
      </c>
      <c r="AK1494">
        <v>400</v>
      </c>
      <c r="AL1494">
        <v>0</v>
      </c>
      <c r="AM1494">
        <v>0</v>
      </c>
      <c r="AN1494">
        <v>0</v>
      </c>
      <c r="AO1494">
        <v>0</v>
      </c>
      <c r="AP1494">
        <v>280</v>
      </c>
      <c r="AT1494" t="str">
        <f t="shared" si="275"/>
        <v>9791137602113</v>
      </c>
      <c r="AV1494" t="str">
        <f t="shared" si="278"/>
        <v>판타지 웹소설 &gt; 현대 판타지</v>
      </c>
    </row>
    <row r="1495" spans="1:48" x14ac:dyDescent="0.4">
      <c r="A1495">
        <v>2313011955</v>
      </c>
      <c r="B1495">
        <v>2313012273</v>
      </c>
      <c r="C1495" t="str">
        <f>T("갓 오브 블랙필드 319화")</f>
        <v>갓 오브 블랙필드 319화</v>
      </c>
      <c r="D1495" t="str">
        <f>T("319")</f>
        <v>319</v>
      </c>
      <c r="E1495" t="str">
        <f t="shared" si="277"/>
        <v>무장</v>
      </c>
      <c r="H1495" t="str">
        <f t="shared" si="276"/>
        <v>스토리위즈</v>
      </c>
      <c r="I1495" t="str">
        <f t="shared" si="274"/>
        <v>갓 오브 블랙필드</v>
      </c>
      <c r="J1495">
        <v>100</v>
      </c>
      <c r="K1495">
        <v>400</v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400</v>
      </c>
      <c r="AH1495">
        <v>4</v>
      </c>
      <c r="AI1495">
        <v>0</v>
      </c>
      <c r="AJ1495">
        <v>0</v>
      </c>
      <c r="AK1495">
        <v>400</v>
      </c>
      <c r="AL1495">
        <v>0</v>
      </c>
      <c r="AM1495">
        <v>0</v>
      </c>
      <c r="AN1495">
        <v>0</v>
      </c>
      <c r="AO1495">
        <v>0</v>
      </c>
      <c r="AP1495">
        <v>280</v>
      </c>
      <c r="AT1495" t="str">
        <f t="shared" si="275"/>
        <v>9791137602113</v>
      </c>
      <c r="AV1495" t="str">
        <f t="shared" si="278"/>
        <v>판타지 웹소설 &gt; 현대 판타지</v>
      </c>
    </row>
    <row r="1496" spans="1:48" x14ac:dyDescent="0.4">
      <c r="A1496">
        <v>2313011955</v>
      </c>
      <c r="B1496">
        <v>2313012274</v>
      </c>
      <c r="C1496" t="str">
        <f>T("갓 오브 블랙필드 320화")</f>
        <v>갓 오브 블랙필드 320화</v>
      </c>
      <c r="D1496" t="str">
        <f>T("320")</f>
        <v>320</v>
      </c>
      <c r="E1496" t="str">
        <f t="shared" si="277"/>
        <v>무장</v>
      </c>
      <c r="H1496" t="str">
        <f t="shared" si="276"/>
        <v>스토리위즈</v>
      </c>
      <c r="I1496" t="str">
        <f t="shared" si="274"/>
        <v>갓 오브 블랙필드</v>
      </c>
      <c r="J1496">
        <v>100</v>
      </c>
      <c r="K1496">
        <v>400</v>
      </c>
      <c r="L1496">
        <v>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400</v>
      </c>
      <c r="AH1496">
        <v>4</v>
      </c>
      <c r="AI1496">
        <v>0</v>
      </c>
      <c r="AJ1496">
        <v>0</v>
      </c>
      <c r="AK1496">
        <v>400</v>
      </c>
      <c r="AL1496">
        <v>0</v>
      </c>
      <c r="AM1496">
        <v>0</v>
      </c>
      <c r="AN1496">
        <v>0</v>
      </c>
      <c r="AO1496">
        <v>0</v>
      </c>
      <c r="AP1496">
        <v>280</v>
      </c>
      <c r="AT1496" t="str">
        <f t="shared" si="275"/>
        <v>9791137602113</v>
      </c>
      <c r="AV1496" t="str">
        <f t="shared" si="278"/>
        <v>판타지 웹소설 &gt; 현대 판타지</v>
      </c>
    </row>
    <row r="1497" spans="1:48" x14ac:dyDescent="0.4">
      <c r="A1497">
        <v>2313011955</v>
      </c>
      <c r="B1497">
        <v>2313012275</v>
      </c>
      <c r="C1497" t="str">
        <f>T("갓 오브 블랙필드 321화")</f>
        <v>갓 오브 블랙필드 321화</v>
      </c>
      <c r="D1497" t="str">
        <f>T("321")</f>
        <v>321</v>
      </c>
      <c r="E1497" t="str">
        <f t="shared" si="277"/>
        <v>무장</v>
      </c>
      <c r="H1497" t="str">
        <f t="shared" si="276"/>
        <v>스토리위즈</v>
      </c>
      <c r="I1497" t="str">
        <f t="shared" si="274"/>
        <v>갓 오브 블랙필드</v>
      </c>
      <c r="J1497">
        <v>100</v>
      </c>
      <c r="K1497">
        <v>400</v>
      </c>
      <c r="L1497">
        <v>4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400</v>
      </c>
      <c r="AH1497">
        <v>4</v>
      </c>
      <c r="AI1497">
        <v>0</v>
      </c>
      <c r="AJ1497">
        <v>0</v>
      </c>
      <c r="AK1497">
        <v>400</v>
      </c>
      <c r="AL1497">
        <v>0</v>
      </c>
      <c r="AM1497">
        <v>0</v>
      </c>
      <c r="AN1497">
        <v>0</v>
      </c>
      <c r="AO1497">
        <v>0</v>
      </c>
      <c r="AP1497">
        <v>280</v>
      </c>
      <c r="AT1497" t="str">
        <f t="shared" si="275"/>
        <v>9791137602113</v>
      </c>
      <c r="AV1497" t="str">
        <f t="shared" si="278"/>
        <v>판타지 웹소설 &gt; 현대 판타지</v>
      </c>
    </row>
    <row r="1498" spans="1:48" x14ac:dyDescent="0.4">
      <c r="A1498">
        <v>2313011955</v>
      </c>
      <c r="B1498">
        <v>2313012276</v>
      </c>
      <c r="C1498" t="str">
        <f>T("갓 오브 블랙필드 322화")</f>
        <v>갓 오브 블랙필드 322화</v>
      </c>
      <c r="D1498" t="str">
        <f>T("322")</f>
        <v>322</v>
      </c>
      <c r="E1498" t="str">
        <f t="shared" si="277"/>
        <v>무장</v>
      </c>
      <c r="H1498" t="str">
        <f t="shared" si="276"/>
        <v>스토리위즈</v>
      </c>
      <c r="I1498" t="str">
        <f t="shared" si="274"/>
        <v>갓 오브 블랙필드</v>
      </c>
      <c r="J1498">
        <v>100</v>
      </c>
      <c r="K1498">
        <v>400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400</v>
      </c>
      <c r="AH1498">
        <v>4</v>
      </c>
      <c r="AI1498">
        <v>0</v>
      </c>
      <c r="AJ1498">
        <v>0</v>
      </c>
      <c r="AK1498">
        <v>400</v>
      </c>
      <c r="AL1498">
        <v>0</v>
      </c>
      <c r="AM1498">
        <v>0</v>
      </c>
      <c r="AN1498">
        <v>0</v>
      </c>
      <c r="AO1498">
        <v>0</v>
      </c>
      <c r="AP1498">
        <v>280</v>
      </c>
      <c r="AT1498" t="str">
        <f t="shared" si="275"/>
        <v>9791137602113</v>
      </c>
      <c r="AV1498" t="str">
        <f t="shared" si="278"/>
        <v>판타지 웹소설 &gt; 현대 판타지</v>
      </c>
    </row>
    <row r="1499" spans="1:48" x14ac:dyDescent="0.4">
      <c r="A1499">
        <v>2313011955</v>
      </c>
      <c r="B1499">
        <v>2313012277</v>
      </c>
      <c r="C1499" t="str">
        <f>T("갓 오브 블랙필드 323화")</f>
        <v>갓 오브 블랙필드 323화</v>
      </c>
      <c r="D1499" t="str">
        <f>T("323")</f>
        <v>323</v>
      </c>
      <c r="E1499" t="str">
        <f t="shared" si="277"/>
        <v>무장</v>
      </c>
      <c r="H1499" t="str">
        <f t="shared" si="276"/>
        <v>스토리위즈</v>
      </c>
      <c r="I1499" t="str">
        <f t="shared" si="274"/>
        <v>갓 오브 블랙필드</v>
      </c>
      <c r="J1499">
        <v>100</v>
      </c>
      <c r="K1499">
        <v>400</v>
      </c>
      <c r="L1499">
        <v>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400</v>
      </c>
      <c r="AH1499">
        <v>4</v>
      </c>
      <c r="AI1499">
        <v>0</v>
      </c>
      <c r="AJ1499">
        <v>0</v>
      </c>
      <c r="AK1499">
        <v>400</v>
      </c>
      <c r="AL1499">
        <v>0</v>
      </c>
      <c r="AM1499">
        <v>0</v>
      </c>
      <c r="AN1499">
        <v>0</v>
      </c>
      <c r="AO1499">
        <v>0</v>
      </c>
      <c r="AP1499">
        <v>280</v>
      </c>
      <c r="AT1499" t="str">
        <f t="shared" si="275"/>
        <v>9791137602113</v>
      </c>
      <c r="AV1499" t="str">
        <f t="shared" si="278"/>
        <v>판타지 웹소설 &gt; 현대 판타지</v>
      </c>
    </row>
    <row r="1500" spans="1:48" x14ac:dyDescent="0.4">
      <c r="A1500">
        <v>2313011955</v>
      </c>
      <c r="B1500">
        <v>2313012278</v>
      </c>
      <c r="C1500" t="str">
        <f>T("갓 오브 블랙필드 324화")</f>
        <v>갓 오브 블랙필드 324화</v>
      </c>
      <c r="D1500" t="str">
        <f>T("324")</f>
        <v>324</v>
      </c>
      <c r="E1500" t="str">
        <f t="shared" si="277"/>
        <v>무장</v>
      </c>
      <c r="H1500" t="str">
        <f t="shared" si="276"/>
        <v>스토리위즈</v>
      </c>
      <c r="I1500" t="str">
        <f t="shared" si="274"/>
        <v>갓 오브 블랙필드</v>
      </c>
      <c r="J1500">
        <v>100</v>
      </c>
      <c r="K1500">
        <v>400</v>
      </c>
      <c r="L1500">
        <v>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400</v>
      </c>
      <c r="AH1500">
        <v>4</v>
      </c>
      <c r="AI1500">
        <v>0</v>
      </c>
      <c r="AJ1500">
        <v>0</v>
      </c>
      <c r="AK1500">
        <v>400</v>
      </c>
      <c r="AL1500">
        <v>0</v>
      </c>
      <c r="AM1500">
        <v>0</v>
      </c>
      <c r="AN1500">
        <v>0</v>
      </c>
      <c r="AO1500">
        <v>0</v>
      </c>
      <c r="AP1500">
        <v>280</v>
      </c>
      <c r="AT1500" t="str">
        <f t="shared" si="275"/>
        <v>9791137602113</v>
      </c>
      <c r="AV1500" t="str">
        <f t="shared" si="278"/>
        <v>판타지 웹소설 &gt; 현대 판타지</v>
      </c>
    </row>
    <row r="1501" spans="1:48" x14ac:dyDescent="0.4">
      <c r="A1501">
        <v>2313011955</v>
      </c>
      <c r="B1501">
        <v>2313012279</v>
      </c>
      <c r="C1501" t="str">
        <f>T("갓 오브 블랙필드 325화")</f>
        <v>갓 오브 블랙필드 325화</v>
      </c>
      <c r="D1501" t="str">
        <f>T("325")</f>
        <v>325</v>
      </c>
      <c r="E1501" t="str">
        <f t="shared" si="277"/>
        <v>무장</v>
      </c>
      <c r="H1501" t="str">
        <f t="shared" si="276"/>
        <v>스토리위즈</v>
      </c>
      <c r="I1501" t="str">
        <f t="shared" si="274"/>
        <v>갓 오브 블랙필드</v>
      </c>
      <c r="J1501">
        <v>100</v>
      </c>
      <c r="K1501">
        <v>400</v>
      </c>
      <c r="L1501">
        <v>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400</v>
      </c>
      <c r="AH1501">
        <v>4</v>
      </c>
      <c r="AI1501">
        <v>0</v>
      </c>
      <c r="AJ1501">
        <v>0</v>
      </c>
      <c r="AK1501">
        <v>400</v>
      </c>
      <c r="AL1501">
        <v>0</v>
      </c>
      <c r="AM1501">
        <v>0</v>
      </c>
      <c r="AN1501">
        <v>0</v>
      </c>
      <c r="AO1501">
        <v>0</v>
      </c>
      <c r="AP1501">
        <v>280</v>
      </c>
      <c r="AT1501" t="str">
        <f t="shared" si="275"/>
        <v>9791137602113</v>
      </c>
      <c r="AV1501" t="str">
        <f t="shared" si="278"/>
        <v>판타지 웹소설 &gt; 현대 판타지</v>
      </c>
    </row>
    <row r="1502" spans="1:48" x14ac:dyDescent="0.4">
      <c r="A1502">
        <v>2313011955</v>
      </c>
      <c r="B1502">
        <v>2313012280</v>
      </c>
      <c r="C1502" t="str">
        <f>T("갓 오브 블랙필드 326화")</f>
        <v>갓 오브 블랙필드 326화</v>
      </c>
      <c r="D1502" t="str">
        <f>T("326")</f>
        <v>326</v>
      </c>
      <c r="E1502" t="str">
        <f t="shared" si="277"/>
        <v>무장</v>
      </c>
      <c r="H1502" t="str">
        <f t="shared" si="276"/>
        <v>스토리위즈</v>
      </c>
      <c r="I1502" t="str">
        <f t="shared" si="274"/>
        <v>갓 오브 블랙필드</v>
      </c>
      <c r="J1502">
        <v>100</v>
      </c>
      <c r="K1502">
        <v>400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400</v>
      </c>
      <c r="AH1502">
        <v>4</v>
      </c>
      <c r="AI1502">
        <v>0</v>
      </c>
      <c r="AJ1502">
        <v>0</v>
      </c>
      <c r="AK1502">
        <v>400</v>
      </c>
      <c r="AL1502">
        <v>0</v>
      </c>
      <c r="AM1502">
        <v>0</v>
      </c>
      <c r="AN1502">
        <v>0</v>
      </c>
      <c r="AO1502">
        <v>0</v>
      </c>
      <c r="AP1502">
        <v>280</v>
      </c>
      <c r="AT1502" t="str">
        <f t="shared" si="275"/>
        <v>9791137602113</v>
      </c>
      <c r="AV1502" t="str">
        <f t="shared" si="278"/>
        <v>판타지 웹소설 &gt; 현대 판타지</v>
      </c>
    </row>
    <row r="1503" spans="1:48" x14ac:dyDescent="0.4">
      <c r="A1503">
        <v>2313011955</v>
      </c>
      <c r="B1503">
        <v>2313012281</v>
      </c>
      <c r="C1503" t="str">
        <f>T("갓 오브 블랙필드 327화")</f>
        <v>갓 오브 블랙필드 327화</v>
      </c>
      <c r="D1503" t="str">
        <f>T("327")</f>
        <v>327</v>
      </c>
      <c r="E1503" t="str">
        <f t="shared" si="277"/>
        <v>무장</v>
      </c>
      <c r="H1503" t="str">
        <f t="shared" si="276"/>
        <v>스토리위즈</v>
      </c>
      <c r="I1503" t="str">
        <f t="shared" si="274"/>
        <v>갓 오브 블랙필드</v>
      </c>
      <c r="J1503">
        <v>100</v>
      </c>
      <c r="K1503">
        <v>400</v>
      </c>
      <c r="L1503">
        <v>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400</v>
      </c>
      <c r="AH1503">
        <v>4</v>
      </c>
      <c r="AI1503">
        <v>0</v>
      </c>
      <c r="AJ1503">
        <v>0</v>
      </c>
      <c r="AK1503">
        <v>400</v>
      </c>
      <c r="AL1503">
        <v>0</v>
      </c>
      <c r="AM1503">
        <v>0</v>
      </c>
      <c r="AN1503">
        <v>0</v>
      </c>
      <c r="AO1503">
        <v>0</v>
      </c>
      <c r="AP1503">
        <v>280</v>
      </c>
      <c r="AT1503" t="str">
        <f t="shared" si="275"/>
        <v>9791137602113</v>
      </c>
      <c r="AV1503" t="str">
        <f t="shared" si="278"/>
        <v>판타지 웹소설 &gt; 현대 판타지</v>
      </c>
    </row>
    <row r="1504" spans="1:48" x14ac:dyDescent="0.4">
      <c r="A1504">
        <v>2313011955</v>
      </c>
      <c r="B1504">
        <v>2313012282</v>
      </c>
      <c r="C1504" t="str">
        <f>T("갓 오브 블랙필드 328화")</f>
        <v>갓 오브 블랙필드 328화</v>
      </c>
      <c r="D1504" t="str">
        <f>T("328")</f>
        <v>328</v>
      </c>
      <c r="E1504" t="str">
        <f t="shared" si="277"/>
        <v>무장</v>
      </c>
      <c r="H1504" t="str">
        <f t="shared" si="276"/>
        <v>스토리위즈</v>
      </c>
      <c r="I1504" t="str">
        <f t="shared" si="274"/>
        <v>갓 오브 블랙필드</v>
      </c>
      <c r="J1504">
        <v>100</v>
      </c>
      <c r="K1504">
        <v>400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400</v>
      </c>
      <c r="AH1504">
        <v>4</v>
      </c>
      <c r="AI1504">
        <v>0</v>
      </c>
      <c r="AJ1504">
        <v>0</v>
      </c>
      <c r="AK1504">
        <v>400</v>
      </c>
      <c r="AL1504">
        <v>0</v>
      </c>
      <c r="AM1504">
        <v>0</v>
      </c>
      <c r="AN1504">
        <v>0</v>
      </c>
      <c r="AO1504">
        <v>0</v>
      </c>
      <c r="AP1504">
        <v>280</v>
      </c>
      <c r="AT1504" t="str">
        <f t="shared" si="275"/>
        <v>9791137602113</v>
      </c>
      <c r="AV1504" t="str">
        <f t="shared" si="278"/>
        <v>판타지 웹소설 &gt; 현대 판타지</v>
      </c>
    </row>
    <row r="1505" spans="1:48" x14ac:dyDescent="0.4">
      <c r="A1505">
        <v>2313011955</v>
      </c>
      <c r="B1505">
        <v>2313012283</v>
      </c>
      <c r="C1505" t="str">
        <f>T("갓 오브 블랙필드 329화")</f>
        <v>갓 오브 블랙필드 329화</v>
      </c>
      <c r="D1505" t="str">
        <f>T("329")</f>
        <v>329</v>
      </c>
      <c r="E1505" t="str">
        <f t="shared" si="277"/>
        <v>무장</v>
      </c>
      <c r="H1505" t="str">
        <f t="shared" si="276"/>
        <v>스토리위즈</v>
      </c>
      <c r="I1505" t="str">
        <f t="shared" si="274"/>
        <v>갓 오브 블랙필드</v>
      </c>
      <c r="J1505">
        <v>100</v>
      </c>
      <c r="K1505">
        <v>400</v>
      </c>
      <c r="L1505">
        <v>4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400</v>
      </c>
      <c r="AH1505">
        <v>4</v>
      </c>
      <c r="AI1505">
        <v>0</v>
      </c>
      <c r="AJ1505">
        <v>0</v>
      </c>
      <c r="AK1505">
        <v>400</v>
      </c>
      <c r="AL1505">
        <v>0</v>
      </c>
      <c r="AM1505">
        <v>0</v>
      </c>
      <c r="AN1505">
        <v>0</v>
      </c>
      <c r="AO1505">
        <v>0</v>
      </c>
      <c r="AP1505">
        <v>280</v>
      </c>
      <c r="AT1505" t="str">
        <f t="shared" si="275"/>
        <v>9791137602113</v>
      </c>
      <c r="AV1505" t="str">
        <f t="shared" si="278"/>
        <v>판타지 웹소설 &gt; 현대 판타지</v>
      </c>
    </row>
    <row r="1506" spans="1:48" x14ac:dyDescent="0.4">
      <c r="A1506">
        <v>2313011955</v>
      </c>
      <c r="B1506">
        <v>2313012284</v>
      </c>
      <c r="C1506" t="str">
        <f>T("갓 오브 블랙필드 330화")</f>
        <v>갓 오브 블랙필드 330화</v>
      </c>
      <c r="D1506" t="str">
        <f>T("330")</f>
        <v>330</v>
      </c>
      <c r="E1506" t="str">
        <f t="shared" si="277"/>
        <v>무장</v>
      </c>
      <c r="H1506" t="str">
        <f t="shared" si="276"/>
        <v>스토리위즈</v>
      </c>
      <c r="I1506" t="str">
        <f t="shared" si="274"/>
        <v>갓 오브 블랙필드</v>
      </c>
      <c r="J1506">
        <v>100</v>
      </c>
      <c r="K1506">
        <v>400</v>
      </c>
      <c r="L1506">
        <v>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400</v>
      </c>
      <c r="AH1506">
        <v>4</v>
      </c>
      <c r="AI1506">
        <v>0</v>
      </c>
      <c r="AJ1506">
        <v>0</v>
      </c>
      <c r="AK1506">
        <v>400</v>
      </c>
      <c r="AL1506">
        <v>0</v>
      </c>
      <c r="AM1506">
        <v>0</v>
      </c>
      <c r="AN1506">
        <v>0</v>
      </c>
      <c r="AO1506">
        <v>0</v>
      </c>
      <c r="AP1506">
        <v>280</v>
      </c>
      <c r="AT1506" t="str">
        <f t="shared" si="275"/>
        <v>9791137602113</v>
      </c>
      <c r="AV1506" t="str">
        <f t="shared" si="278"/>
        <v>판타지 웹소설 &gt; 현대 판타지</v>
      </c>
    </row>
    <row r="1507" spans="1:48" x14ac:dyDescent="0.4">
      <c r="A1507">
        <v>2313011955</v>
      </c>
      <c r="B1507">
        <v>2313012285</v>
      </c>
      <c r="C1507" t="str">
        <f>T("갓 오브 블랙필드 331화")</f>
        <v>갓 오브 블랙필드 331화</v>
      </c>
      <c r="D1507" t="str">
        <f>T("331")</f>
        <v>331</v>
      </c>
      <c r="E1507" t="str">
        <f t="shared" si="277"/>
        <v>무장</v>
      </c>
      <c r="H1507" t="str">
        <f t="shared" si="276"/>
        <v>스토리위즈</v>
      </c>
      <c r="I1507" t="str">
        <f t="shared" si="274"/>
        <v>갓 오브 블랙필드</v>
      </c>
      <c r="J1507">
        <v>100</v>
      </c>
      <c r="K1507">
        <v>400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400</v>
      </c>
      <c r="AH1507">
        <v>4</v>
      </c>
      <c r="AI1507">
        <v>0</v>
      </c>
      <c r="AJ1507">
        <v>0</v>
      </c>
      <c r="AK1507">
        <v>400</v>
      </c>
      <c r="AL1507">
        <v>0</v>
      </c>
      <c r="AM1507">
        <v>0</v>
      </c>
      <c r="AN1507">
        <v>0</v>
      </c>
      <c r="AO1507">
        <v>0</v>
      </c>
      <c r="AP1507">
        <v>280</v>
      </c>
      <c r="AT1507" t="str">
        <f t="shared" si="275"/>
        <v>9791137602113</v>
      </c>
      <c r="AV1507" t="str">
        <f t="shared" si="278"/>
        <v>판타지 웹소설 &gt; 현대 판타지</v>
      </c>
    </row>
    <row r="1508" spans="1:48" x14ac:dyDescent="0.4">
      <c r="A1508">
        <v>2313011955</v>
      </c>
      <c r="B1508">
        <v>2313012286</v>
      </c>
      <c r="C1508" t="str">
        <f>T("갓 오브 블랙필드 332화")</f>
        <v>갓 오브 블랙필드 332화</v>
      </c>
      <c r="D1508" t="str">
        <f>T("332")</f>
        <v>332</v>
      </c>
      <c r="E1508" t="str">
        <f t="shared" si="277"/>
        <v>무장</v>
      </c>
      <c r="H1508" t="str">
        <f t="shared" si="276"/>
        <v>스토리위즈</v>
      </c>
      <c r="I1508" t="str">
        <f t="shared" ref="I1508:I1571" si="279">T("갓 오브 블랙필드")</f>
        <v>갓 오브 블랙필드</v>
      </c>
      <c r="J1508">
        <v>100</v>
      </c>
      <c r="K1508">
        <v>400</v>
      </c>
      <c r="L1508">
        <v>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400</v>
      </c>
      <c r="AH1508">
        <v>4</v>
      </c>
      <c r="AI1508">
        <v>0</v>
      </c>
      <c r="AJ1508">
        <v>0</v>
      </c>
      <c r="AK1508">
        <v>400</v>
      </c>
      <c r="AL1508">
        <v>0</v>
      </c>
      <c r="AM1508">
        <v>0</v>
      </c>
      <c r="AN1508">
        <v>0</v>
      </c>
      <c r="AO1508">
        <v>0</v>
      </c>
      <c r="AP1508">
        <v>280</v>
      </c>
      <c r="AT1508" t="str">
        <f t="shared" ref="AT1508:AT1571" si="280">T("9791137602113")</f>
        <v>9791137602113</v>
      </c>
      <c r="AV1508" t="str">
        <f t="shared" si="278"/>
        <v>판타지 웹소설 &gt; 현대 판타지</v>
      </c>
    </row>
    <row r="1509" spans="1:48" x14ac:dyDescent="0.4">
      <c r="A1509">
        <v>2313011955</v>
      </c>
      <c r="B1509">
        <v>2313012287</v>
      </c>
      <c r="C1509" t="str">
        <f>T("갓 오브 블랙필드 333화")</f>
        <v>갓 오브 블랙필드 333화</v>
      </c>
      <c r="D1509" t="str">
        <f>T("333")</f>
        <v>333</v>
      </c>
      <c r="E1509" t="str">
        <f t="shared" si="277"/>
        <v>무장</v>
      </c>
      <c r="H1509" t="str">
        <f t="shared" si="276"/>
        <v>스토리위즈</v>
      </c>
      <c r="I1509" t="str">
        <f t="shared" si="279"/>
        <v>갓 오브 블랙필드</v>
      </c>
      <c r="J1509">
        <v>100</v>
      </c>
      <c r="K1509">
        <v>400</v>
      </c>
      <c r="L1509">
        <v>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400</v>
      </c>
      <c r="AH1509">
        <v>4</v>
      </c>
      <c r="AI1509">
        <v>0</v>
      </c>
      <c r="AJ1509">
        <v>0</v>
      </c>
      <c r="AK1509">
        <v>400</v>
      </c>
      <c r="AL1509">
        <v>0</v>
      </c>
      <c r="AM1509">
        <v>0</v>
      </c>
      <c r="AN1509">
        <v>0</v>
      </c>
      <c r="AO1509">
        <v>0</v>
      </c>
      <c r="AP1509">
        <v>280</v>
      </c>
      <c r="AT1509" t="str">
        <f t="shared" si="280"/>
        <v>9791137602113</v>
      </c>
      <c r="AV1509" t="str">
        <f t="shared" si="278"/>
        <v>판타지 웹소설 &gt; 현대 판타지</v>
      </c>
    </row>
    <row r="1510" spans="1:48" x14ac:dyDescent="0.4">
      <c r="A1510">
        <v>2313011955</v>
      </c>
      <c r="B1510">
        <v>2313012288</v>
      </c>
      <c r="C1510" t="str">
        <f>T("갓 오브 블랙필드 334화")</f>
        <v>갓 오브 블랙필드 334화</v>
      </c>
      <c r="D1510" t="str">
        <f>T("334")</f>
        <v>334</v>
      </c>
      <c r="E1510" t="str">
        <f t="shared" si="277"/>
        <v>무장</v>
      </c>
      <c r="H1510" t="str">
        <f t="shared" si="276"/>
        <v>스토리위즈</v>
      </c>
      <c r="I1510" t="str">
        <f t="shared" si="279"/>
        <v>갓 오브 블랙필드</v>
      </c>
      <c r="J1510">
        <v>100</v>
      </c>
      <c r="K1510">
        <v>400</v>
      </c>
      <c r="L1510">
        <v>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400</v>
      </c>
      <c r="AH1510">
        <v>4</v>
      </c>
      <c r="AI1510">
        <v>0</v>
      </c>
      <c r="AJ1510">
        <v>0</v>
      </c>
      <c r="AK1510">
        <v>400</v>
      </c>
      <c r="AL1510">
        <v>0</v>
      </c>
      <c r="AM1510">
        <v>0</v>
      </c>
      <c r="AN1510">
        <v>0</v>
      </c>
      <c r="AO1510">
        <v>0</v>
      </c>
      <c r="AP1510">
        <v>280</v>
      </c>
      <c r="AT1510" t="str">
        <f t="shared" si="280"/>
        <v>9791137602113</v>
      </c>
      <c r="AV1510" t="str">
        <f t="shared" si="278"/>
        <v>판타지 웹소설 &gt; 현대 판타지</v>
      </c>
    </row>
    <row r="1511" spans="1:48" x14ac:dyDescent="0.4">
      <c r="A1511">
        <v>2313011955</v>
      </c>
      <c r="B1511">
        <v>2313012289</v>
      </c>
      <c r="C1511" t="str">
        <f>T("갓 오브 블랙필드 335화")</f>
        <v>갓 오브 블랙필드 335화</v>
      </c>
      <c r="D1511" t="str">
        <f>T("335")</f>
        <v>335</v>
      </c>
      <c r="E1511" t="str">
        <f t="shared" si="277"/>
        <v>무장</v>
      </c>
      <c r="H1511" t="str">
        <f t="shared" si="276"/>
        <v>스토리위즈</v>
      </c>
      <c r="I1511" t="str">
        <f t="shared" si="279"/>
        <v>갓 오브 블랙필드</v>
      </c>
      <c r="J1511">
        <v>100</v>
      </c>
      <c r="K1511">
        <v>400</v>
      </c>
      <c r="L1511">
        <v>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400</v>
      </c>
      <c r="AH1511">
        <v>4</v>
      </c>
      <c r="AI1511">
        <v>0</v>
      </c>
      <c r="AJ1511">
        <v>0</v>
      </c>
      <c r="AK1511">
        <v>400</v>
      </c>
      <c r="AL1511">
        <v>0</v>
      </c>
      <c r="AM1511">
        <v>0</v>
      </c>
      <c r="AN1511">
        <v>0</v>
      </c>
      <c r="AO1511">
        <v>0</v>
      </c>
      <c r="AP1511">
        <v>280</v>
      </c>
      <c r="AT1511" t="str">
        <f t="shared" si="280"/>
        <v>9791137602113</v>
      </c>
      <c r="AV1511" t="str">
        <f t="shared" si="278"/>
        <v>판타지 웹소설 &gt; 현대 판타지</v>
      </c>
    </row>
    <row r="1512" spans="1:48" x14ac:dyDescent="0.4">
      <c r="A1512">
        <v>2313011955</v>
      </c>
      <c r="B1512">
        <v>2313012290</v>
      </c>
      <c r="C1512" t="str">
        <f>T("갓 오브 블랙필드 336화")</f>
        <v>갓 오브 블랙필드 336화</v>
      </c>
      <c r="D1512" t="str">
        <f>T("336")</f>
        <v>336</v>
      </c>
      <c r="E1512" t="str">
        <f t="shared" si="277"/>
        <v>무장</v>
      </c>
      <c r="H1512" t="str">
        <f t="shared" si="276"/>
        <v>스토리위즈</v>
      </c>
      <c r="I1512" t="str">
        <f t="shared" si="279"/>
        <v>갓 오브 블랙필드</v>
      </c>
      <c r="J1512">
        <v>100</v>
      </c>
      <c r="K1512">
        <v>400</v>
      </c>
      <c r="L1512">
        <v>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400</v>
      </c>
      <c r="AH1512">
        <v>4</v>
      </c>
      <c r="AI1512">
        <v>0</v>
      </c>
      <c r="AJ1512">
        <v>0</v>
      </c>
      <c r="AK1512">
        <v>400</v>
      </c>
      <c r="AL1512">
        <v>0</v>
      </c>
      <c r="AM1512">
        <v>0</v>
      </c>
      <c r="AN1512">
        <v>0</v>
      </c>
      <c r="AO1512">
        <v>0</v>
      </c>
      <c r="AP1512">
        <v>280</v>
      </c>
      <c r="AT1512" t="str">
        <f t="shared" si="280"/>
        <v>9791137602113</v>
      </c>
      <c r="AV1512" t="str">
        <f t="shared" si="278"/>
        <v>판타지 웹소설 &gt; 현대 판타지</v>
      </c>
    </row>
    <row r="1513" spans="1:48" x14ac:dyDescent="0.4">
      <c r="A1513">
        <v>2313011955</v>
      </c>
      <c r="B1513">
        <v>2313012291</v>
      </c>
      <c r="C1513" t="str">
        <f>T("갓 오브 블랙필드 337화")</f>
        <v>갓 오브 블랙필드 337화</v>
      </c>
      <c r="D1513" t="str">
        <f>T("337")</f>
        <v>337</v>
      </c>
      <c r="E1513" t="str">
        <f t="shared" si="277"/>
        <v>무장</v>
      </c>
      <c r="H1513" t="str">
        <f t="shared" si="276"/>
        <v>스토리위즈</v>
      </c>
      <c r="I1513" t="str">
        <f t="shared" si="279"/>
        <v>갓 오브 블랙필드</v>
      </c>
      <c r="J1513">
        <v>100</v>
      </c>
      <c r="K1513">
        <v>400</v>
      </c>
      <c r="L1513">
        <v>4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400</v>
      </c>
      <c r="AH1513">
        <v>4</v>
      </c>
      <c r="AI1513">
        <v>0</v>
      </c>
      <c r="AJ1513">
        <v>0</v>
      </c>
      <c r="AK1513">
        <v>400</v>
      </c>
      <c r="AL1513">
        <v>0</v>
      </c>
      <c r="AM1513">
        <v>0</v>
      </c>
      <c r="AN1513">
        <v>0</v>
      </c>
      <c r="AO1513">
        <v>0</v>
      </c>
      <c r="AP1513">
        <v>280</v>
      </c>
      <c r="AT1513" t="str">
        <f t="shared" si="280"/>
        <v>9791137602113</v>
      </c>
      <c r="AV1513" t="str">
        <f t="shared" si="278"/>
        <v>판타지 웹소설 &gt; 현대 판타지</v>
      </c>
    </row>
    <row r="1514" spans="1:48" x14ac:dyDescent="0.4">
      <c r="A1514">
        <v>2313011955</v>
      </c>
      <c r="B1514">
        <v>2313012316</v>
      </c>
      <c r="C1514" t="str">
        <f>T("갓 오브 블랙필드 362화")</f>
        <v>갓 오브 블랙필드 362화</v>
      </c>
      <c r="D1514" t="str">
        <f>T("362")</f>
        <v>362</v>
      </c>
      <c r="E1514" t="str">
        <f t="shared" si="277"/>
        <v>무장</v>
      </c>
      <c r="H1514" t="str">
        <f t="shared" si="276"/>
        <v>스토리위즈</v>
      </c>
      <c r="I1514" t="str">
        <f t="shared" si="279"/>
        <v>갓 오브 블랙필드</v>
      </c>
      <c r="J1514">
        <v>100</v>
      </c>
      <c r="K1514">
        <v>400</v>
      </c>
      <c r="L1514">
        <v>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400</v>
      </c>
      <c r="AH1514">
        <v>4</v>
      </c>
      <c r="AI1514">
        <v>0</v>
      </c>
      <c r="AJ1514">
        <v>0</v>
      </c>
      <c r="AK1514">
        <v>400</v>
      </c>
      <c r="AL1514">
        <v>0</v>
      </c>
      <c r="AM1514">
        <v>0</v>
      </c>
      <c r="AN1514">
        <v>0</v>
      </c>
      <c r="AO1514">
        <v>0</v>
      </c>
      <c r="AP1514">
        <v>280</v>
      </c>
      <c r="AT1514" t="str">
        <f t="shared" si="280"/>
        <v>9791137602113</v>
      </c>
      <c r="AV1514" t="str">
        <f t="shared" si="278"/>
        <v>판타지 웹소설 &gt; 현대 판타지</v>
      </c>
    </row>
    <row r="1515" spans="1:48" x14ac:dyDescent="0.4">
      <c r="A1515">
        <v>2313011955</v>
      </c>
      <c r="B1515">
        <v>2313012317</v>
      </c>
      <c r="C1515" t="str">
        <f>T("갓 오브 블랙필드 363화")</f>
        <v>갓 오브 블랙필드 363화</v>
      </c>
      <c r="D1515" t="str">
        <f>T("363")</f>
        <v>363</v>
      </c>
      <c r="E1515" t="str">
        <f t="shared" si="277"/>
        <v>무장</v>
      </c>
      <c r="H1515" t="str">
        <f t="shared" si="276"/>
        <v>스토리위즈</v>
      </c>
      <c r="I1515" t="str">
        <f t="shared" si="279"/>
        <v>갓 오브 블랙필드</v>
      </c>
      <c r="J1515">
        <v>100</v>
      </c>
      <c r="K1515">
        <v>400</v>
      </c>
      <c r="L1515">
        <v>4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400</v>
      </c>
      <c r="AH1515">
        <v>4</v>
      </c>
      <c r="AI1515">
        <v>0</v>
      </c>
      <c r="AJ1515">
        <v>0</v>
      </c>
      <c r="AK1515">
        <v>400</v>
      </c>
      <c r="AL1515">
        <v>0</v>
      </c>
      <c r="AM1515">
        <v>0</v>
      </c>
      <c r="AN1515">
        <v>0</v>
      </c>
      <c r="AO1515">
        <v>0</v>
      </c>
      <c r="AP1515">
        <v>280</v>
      </c>
      <c r="AT1515" t="str">
        <f t="shared" si="280"/>
        <v>9791137602113</v>
      </c>
      <c r="AV1515" t="str">
        <f t="shared" si="278"/>
        <v>판타지 웹소설 &gt; 현대 판타지</v>
      </c>
    </row>
    <row r="1516" spans="1:48" x14ac:dyDescent="0.4">
      <c r="A1516">
        <v>2313011955</v>
      </c>
      <c r="B1516">
        <v>2313012318</v>
      </c>
      <c r="C1516" t="str">
        <f>T("갓 오브 블랙필드 364화")</f>
        <v>갓 오브 블랙필드 364화</v>
      </c>
      <c r="D1516" t="str">
        <f>T("364")</f>
        <v>364</v>
      </c>
      <c r="E1516" t="str">
        <f t="shared" si="277"/>
        <v>무장</v>
      </c>
      <c r="H1516" t="str">
        <f t="shared" si="276"/>
        <v>스토리위즈</v>
      </c>
      <c r="I1516" t="str">
        <f t="shared" si="279"/>
        <v>갓 오브 블랙필드</v>
      </c>
      <c r="J1516">
        <v>100</v>
      </c>
      <c r="K1516">
        <v>400</v>
      </c>
      <c r="L1516">
        <v>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400</v>
      </c>
      <c r="AH1516">
        <v>4</v>
      </c>
      <c r="AI1516">
        <v>0</v>
      </c>
      <c r="AJ1516">
        <v>0</v>
      </c>
      <c r="AK1516">
        <v>400</v>
      </c>
      <c r="AL1516">
        <v>0</v>
      </c>
      <c r="AM1516">
        <v>0</v>
      </c>
      <c r="AN1516">
        <v>0</v>
      </c>
      <c r="AO1516">
        <v>0</v>
      </c>
      <c r="AP1516">
        <v>280</v>
      </c>
      <c r="AT1516" t="str">
        <f t="shared" si="280"/>
        <v>9791137602113</v>
      </c>
      <c r="AV1516" t="str">
        <f t="shared" si="278"/>
        <v>판타지 웹소설 &gt; 현대 판타지</v>
      </c>
    </row>
    <row r="1517" spans="1:48" x14ac:dyDescent="0.4">
      <c r="A1517">
        <v>2313011955</v>
      </c>
      <c r="B1517">
        <v>2313012319</v>
      </c>
      <c r="C1517" t="str">
        <f>T("갓 오브 블랙필드 365화")</f>
        <v>갓 오브 블랙필드 365화</v>
      </c>
      <c r="D1517" t="str">
        <f>T("365")</f>
        <v>365</v>
      </c>
      <c r="E1517" t="str">
        <f t="shared" si="277"/>
        <v>무장</v>
      </c>
      <c r="H1517" t="str">
        <f t="shared" si="276"/>
        <v>스토리위즈</v>
      </c>
      <c r="I1517" t="str">
        <f t="shared" si="279"/>
        <v>갓 오브 블랙필드</v>
      </c>
      <c r="J1517">
        <v>100</v>
      </c>
      <c r="K1517">
        <v>400</v>
      </c>
      <c r="L1517">
        <v>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400</v>
      </c>
      <c r="AH1517">
        <v>4</v>
      </c>
      <c r="AI1517">
        <v>0</v>
      </c>
      <c r="AJ1517">
        <v>0</v>
      </c>
      <c r="AK1517">
        <v>400</v>
      </c>
      <c r="AL1517">
        <v>0</v>
      </c>
      <c r="AM1517">
        <v>0</v>
      </c>
      <c r="AN1517">
        <v>0</v>
      </c>
      <c r="AO1517">
        <v>0</v>
      </c>
      <c r="AP1517">
        <v>280</v>
      </c>
      <c r="AT1517" t="str">
        <f t="shared" si="280"/>
        <v>9791137602113</v>
      </c>
      <c r="AV1517" t="str">
        <f t="shared" si="278"/>
        <v>판타지 웹소설 &gt; 현대 판타지</v>
      </c>
    </row>
    <row r="1518" spans="1:48" x14ac:dyDescent="0.4">
      <c r="A1518">
        <v>2313011955</v>
      </c>
      <c r="B1518">
        <v>2313012320</v>
      </c>
      <c r="C1518" t="str">
        <f>T("갓 오브 블랙필드 366화")</f>
        <v>갓 오브 블랙필드 366화</v>
      </c>
      <c r="D1518" t="str">
        <f>T("366")</f>
        <v>366</v>
      </c>
      <c r="E1518" t="str">
        <f t="shared" si="277"/>
        <v>무장</v>
      </c>
      <c r="H1518" t="str">
        <f t="shared" si="276"/>
        <v>스토리위즈</v>
      </c>
      <c r="I1518" t="str">
        <f t="shared" si="279"/>
        <v>갓 오브 블랙필드</v>
      </c>
      <c r="J1518">
        <v>100</v>
      </c>
      <c r="K1518">
        <v>400</v>
      </c>
      <c r="L1518">
        <v>4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400</v>
      </c>
      <c r="AH1518">
        <v>4</v>
      </c>
      <c r="AI1518">
        <v>0</v>
      </c>
      <c r="AJ1518">
        <v>0</v>
      </c>
      <c r="AK1518">
        <v>400</v>
      </c>
      <c r="AL1518">
        <v>0</v>
      </c>
      <c r="AM1518">
        <v>0</v>
      </c>
      <c r="AN1518">
        <v>0</v>
      </c>
      <c r="AO1518">
        <v>0</v>
      </c>
      <c r="AP1518">
        <v>280</v>
      </c>
      <c r="AT1518" t="str">
        <f t="shared" si="280"/>
        <v>9791137602113</v>
      </c>
      <c r="AV1518" t="str">
        <f t="shared" si="278"/>
        <v>판타지 웹소설 &gt; 현대 판타지</v>
      </c>
    </row>
    <row r="1519" spans="1:48" x14ac:dyDescent="0.4">
      <c r="A1519">
        <v>2313011955</v>
      </c>
      <c r="B1519">
        <v>2313012321</v>
      </c>
      <c r="C1519" t="str">
        <f>T("갓 오브 블랙필드 367화")</f>
        <v>갓 오브 블랙필드 367화</v>
      </c>
      <c r="D1519" t="str">
        <f>T("367")</f>
        <v>367</v>
      </c>
      <c r="E1519" t="str">
        <f t="shared" si="277"/>
        <v>무장</v>
      </c>
      <c r="H1519" t="str">
        <f t="shared" si="276"/>
        <v>스토리위즈</v>
      </c>
      <c r="I1519" t="str">
        <f t="shared" si="279"/>
        <v>갓 오브 블랙필드</v>
      </c>
      <c r="J1519">
        <v>100</v>
      </c>
      <c r="K1519">
        <v>400</v>
      </c>
      <c r="L1519">
        <v>4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400</v>
      </c>
      <c r="AH1519">
        <v>4</v>
      </c>
      <c r="AI1519">
        <v>0</v>
      </c>
      <c r="AJ1519">
        <v>0</v>
      </c>
      <c r="AK1519">
        <v>400</v>
      </c>
      <c r="AL1519">
        <v>0</v>
      </c>
      <c r="AM1519">
        <v>0</v>
      </c>
      <c r="AN1519">
        <v>0</v>
      </c>
      <c r="AO1519">
        <v>0</v>
      </c>
      <c r="AP1519">
        <v>280</v>
      </c>
      <c r="AT1519" t="str">
        <f t="shared" si="280"/>
        <v>9791137602113</v>
      </c>
      <c r="AV1519" t="str">
        <f t="shared" si="278"/>
        <v>판타지 웹소설 &gt; 현대 판타지</v>
      </c>
    </row>
    <row r="1520" spans="1:48" x14ac:dyDescent="0.4">
      <c r="A1520">
        <v>2313011955</v>
      </c>
      <c r="B1520">
        <v>2313012322</v>
      </c>
      <c r="C1520" t="str">
        <f>T("갓 오브 블랙필드 368화")</f>
        <v>갓 오브 블랙필드 368화</v>
      </c>
      <c r="D1520" t="str">
        <f>T("368")</f>
        <v>368</v>
      </c>
      <c r="E1520" t="str">
        <f t="shared" si="277"/>
        <v>무장</v>
      </c>
      <c r="H1520" t="str">
        <f t="shared" si="276"/>
        <v>스토리위즈</v>
      </c>
      <c r="I1520" t="str">
        <f t="shared" si="279"/>
        <v>갓 오브 블랙필드</v>
      </c>
      <c r="J1520">
        <v>100</v>
      </c>
      <c r="K1520">
        <v>400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400</v>
      </c>
      <c r="AH1520">
        <v>4</v>
      </c>
      <c r="AI1520">
        <v>0</v>
      </c>
      <c r="AJ1520">
        <v>0</v>
      </c>
      <c r="AK1520">
        <v>400</v>
      </c>
      <c r="AL1520">
        <v>0</v>
      </c>
      <c r="AM1520">
        <v>0</v>
      </c>
      <c r="AN1520">
        <v>0</v>
      </c>
      <c r="AO1520">
        <v>0</v>
      </c>
      <c r="AP1520">
        <v>280</v>
      </c>
      <c r="AT1520" t="str">
        <f t="shared" si="280"/>
        <v>9791137602113</v>
      </c>
      <c r="AV1520" t="str">
        <f t="shared" si="278"/>
        <v>판타지 웹소설 &gt; 현대 판타지</v>
      </c>
    </row>
    <row r="1521" spans="1:48" x14ac:dyDescent="0.4">
      <c r="A1521">
        <v>2313011955</v>
      </c>
      <c r="B1521">
        <v>2313012323</v>
      </c>
      <c r="C1521" t="str">
        <f>T("갓 오브 블랙필드 369화")</f>
        <v>갓 오브 블랙필드 369화</v>
      </c>
      <c r="D1521" t="str">
        <f>T("369")</f>
        <v>369</v>
      </c>
      <c r="E1521" t="str">
        <f t="shared" si="277"/>
        <v>무장</v>
      </c>
      <c r="H1521" t="str">
        <f t="shared" si="276"/>
        <v>스토리위즈</v>
      </c>
      <c r="I1521" t="str">
        <f t="shared" si="279"/>
        <v>갓 오브 블랙필드</v>
      </c>
      <c r="J1521">
        <v>100</v>
      </c>
      <c r="K1521">
        <v>400</v>
      </c>
      <c r="L1521">
        <v>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400</v>
      </c>
      <c r="AH1521">
        <v>4</v>
      </c>
      <c r="AI1521">
        <v>0</v>
      </c>
      <c r="AJ1521">
        <v>0</v>
      </c>
      <c r="AK1521">
        <v>400</v>
      </c>
      <c r="AL1521">
        <v>0</v>
      </c>
      <c r="AM1521">
        <v>0</v>
      </c>
      <c r="AN1521">
        <v>0</v>
      </c>
      <c r="AO1521">
        <v>0</v>
      </c>
      <c r="AP1521">
        <v>280</v>
      </c>
      <c r="AT1521" t="str">
        <f t="shared" si="280"/>
        <v>9791137602113</v>
      </c>
      <c r="AV1521" t="str">
        <f t="shared" si="278"/>
        <v>판타지 웹소설 &gt; 현대 판타지</v>
      </c>
    </row>
    <row r="1522" spans="1:48" x14ac:dyDescent="0.4">
      <c r="A1522">
        <v>2313011955</v>
      </c>
      <c r="B1522">
        <v>2313012324</v>
      </c>
      <c r="C1522" t="str">
        <f>T("갓 오브 블랙필드 370화")</f>
        <v>갓 오브 블랙필드 370화</v>
      </c>
      <c r="D1522" t="str">
        <f>T("370")</f>
        <v>370</v>
      </c>
      <c r="E1522" t="str">
        <f t="shared" si="277"/>
        <v>무장</v>
      </c>
      <c r="H1522" t="str">
        <f t="shared" si="276"/>
        <v>스토리위즈</v>
      </c>
      <c r="I1522" t="str">
        <f t="shared" si="279"/>
        <v>갓 오브 블랙필드</v>
      </c>
      <c r="J1522">
        <v>100</v>
      </c>
      <c r="K1522">
        <v>400</v>
      </c>
      <c r="L1522">
        <v>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400</v>
      </c>
      <c r="AH1522">
        <v>4</v>
      </c>
      <c r="AI1522">
        <v>0</v>
      </c>
      <c r="AJ1522">
        <v>0</v>
      </c>
      <c r="AK1522">
        <v>400</v>
      </c>
      <c r="AL1522">
        <v>0</v>
      </c>
      <c r="AM1522">
        <v>0</v>
      </c>
      <c r="AN1522">
        <v>0</v>
      </c>
      <c r="AO1522">
        <v>0</v>
      </c>
      <c r="AP1522">
        <v>280</v>
      </c>
      <c r="AT1522" t="str">
        <f t="shared" si="280"/>
        <v>9791137602113</v>
      </c>
      <c r="AV1522" t="str">
        <f t="shared" si="278"/>
        <v>판타지 웹소설 &gt; 현대 판타지</v>
      </c>
    </row>
    <row r="1523" spans="1:48" x14ac:dyDescent="0.4">
      <c r="A1523">
        <v>2313011955</v>
      </c>
      <c r="B1523">
        <v>2313012325</v>
      </c>
      <c r="C1523" t="str">
        <f>T("갓 오브 블랙필드 371화")</f>
        <v>갓 오브 블랙필드 371화</v>
      </c>
      <c r="D1523" t="str">
        <f>T("371")</f>
        <v>371</v>
      </c>
      <c r="E1523" t="str">
        <f t="shared" si="277"/>
        <v>무장</v>
      </c>
      <c r="H1523" t="str">
        <f t="shared" si="276"/>
        <v>스토리위즈</v>
      </c>
      <c r="I1523" t="str">
        <f t="shared" si="279"/>
        <v>갓 오브 블랙필드</v>
      </c>
      <c r="J1523">
        <v>100</v>
      </c>
      <c r="K1523">
        <v>400</v>
      </c>
      <c r="L1523">
        <v>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400</v>
      </c>
      <c r="AH1523">
        <v>4</v>
      </c>
      <c r="AI1523">
        <v>0</v>
      </c>
      <c r="AJ1523">
        <v>0</v>
      </c>
      <c r="AK1523">
        <v>400</v>
      </c>
      <c r="AL1523">
        <v>0</v>
      </c>
      <c r="AM1523">
        <v>0</v>
      </c>
      <c r="AN1523">
        <v>0</v>
      </c>
      <c r="AO1523">
        <v>0</v>
      </c>
      <c r="AP1523">
        <v>280</v>
      </c>
      <c r="AT1523" t="str">
        <f t="shared" si="280"/>
        <v>9791137602113</v>
      </c>
      <c r="AV1523" t="str">
        <f t="shared" si="278"/>
        <v>판타지 웹소설 &gt; 현대 판타지</v>
      </c>
    </row>
    <row r="1524" spans="1:48" x14ac:dyDescent="0.4">
      <c r="A1524">
        <v>2313011955</v>
      </c>
      <c r="B1524">
        <v>2313012326</v>
      </c>
      <c r="C1524" t="str">
        <f>T("갓 오브 블랙필드 372화")</f>
        <v>갓 오브 블랙필드 372화</v>
      </c>
      <c r="D1524" t="str">
        <f>T("372")</f>
        <v>372</v>
      </c>
      <c r="E1524" t="str">
        <f t="shared" si="277"/>
        <v>무장</v>
      </c>
      <c r="H1524" t="str">
        <f t="shared" si="276"/>
        <v>스토리위즈</v>
      </c>
      <c r="I1524" t="str">
        <f t="shared" si="279"/>
        <v>갓 오브 블랙필드</v>
      </c>
      <c r="J1524">
        <v>100</v>
      </c>
      <c r="K1524">
        <v>400</v>
      </c>
      <c r="L1524">
        <v>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400</v>
      </c>
      <c r="AH1524">
        <v>4</v>
      </c>
      <c r="AI1524">
        <v>0</v>
      </c>
      <c r="AJ1524">
        <v>0</v>
      </c>
      <c r="AK1524">
        <v>400</v>
      </c>
      <c r="AL1524">
        <v>0</v>
      </c>
      <c r="AM1524">
        <v>0</v>
      </c>
      <c r="AN1524">
        <v>0</v>
      </c>
      <c r="AO1524">
        <v>0</v>
      </c>
      <c r="AP1524">
        <v>280</v>
      </c>
      <c r="AT1524" t="str">
        <f t="shared" si="280"/>
        <v>9791137602113</v>
      </c>
      <c r="AV1524" t="str">
        <f t="shared" si="278"/>
        <v>판타지 웹소설 &gt; 현대 판타지</v>
      </c>
    </row>
    <row r="1525" spans="1:48" x14ac:dyDescent="0.4">
      <c r="A1525">
        <v>2313011955</v>
      </c>
      <c r="B1525">
        <v>2313012327</v>
      </c>
      <c r="C1525" t="str">
        <f>T("갓 오브 블랙필드 373화")</f>
        <v>갓 오브 블랙필드 373화</v>
      </c>
      <c r="D1525" t="str">
        <f>T("373")</f>
        <v>373</v>
      </c>
      <c r="E1525" t="str">
        <f t="shared" si="277"/>
        <v>무장</v>
      </c>
      <c r="H1525" t="str">
        <f t="shared" ref="H1525:H1588" si="281">T("스토리위즈")</f>
        <v>스토리위즈</v>
      </c>
      <c r="I1525" t="str">
        <f t="shared" si="279"/>
        <v>갓 오브 블랙필드</v>
      </c>
      <c r="J1525">
        <v>100</v>
      </c>
      <c r="K1525">
        <v>400</v>
      </c>
      <c r="L1525">
        <v>4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400</v>
      </c>
      <c r="AH1525">
        <v>4</v>
      </c>
      <c r="AI1525">
        <v>0</v>
      </c>
      <c r="AJ1525">
        <v>0</v>
      </c>
      <c r="AK1525">
        <v>400</v>
      </c>
      <c r="AL1525">
        <v>0</v>
      </c>
      <c r="AM1525">
        <v>0</v>
      </c>
      <c r="AN1525">
        <v>0</v>
      </c>
      <c r="AO1525">
        <v>0</v>
      </c>
      <c r="AP1525">
        <v>280</v>
      </c>
      <c r="AT1525" t="str">
        <f t="shared" si="280"/>
        <v>9791137602113</v>
      </c>
      <c r="AV1525" t="str">
        <f t="shared" si="278"/>
        <v>판타지 웹소설 &gt; 현대 판타지</v>
      </c>
    </row>
    <row r="1526" spans="1:48" x14ac:dyDescent="0.4">
      <c r="A1526">
        <v>2313011955</v>
      </c>
      <c r="B1526">
        <v>2313012328</v>
      </c>
      <c r="C1526" t="str">
        <f>T("갓 오브 블랙필드 374화")</f>
        <v>갓 오브 블랙필드 374화</v>
      </c>
      <c r="D1526" t="str">
        <f>T("374")</f>
        <v>374</v>
      </c>
      <c r="E1526" t="str">
        <f t="shared" si="277"/>
        <v>무장</v>
      </c>
      <c r="H1526" t="str">
        <f t="shared" si="281"/>
        <v>스토리위즈</v>
      </c>
      <c r="I1526" t="str">
        <f t="shared" si="279"/>
        <v>갓 오브 블랙필드</v>
      </c>
      <c r="J1526">
        <v>100</v>
      </c>
      <c r="K1526">
        <v>400</v>
      </c>
      <c r="L1526">
        <v>4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400</v>
      </c>
      <c r="AH1526">
        <v>4</v>
      </c>
      <c r="AI1526">
        <v>0</v>
      </c>
      <c r="AJ1526">
        <v>0</v>
      </c>
      <c r="AK1526">
        <v>400</v>
      </c>
      <c r="AL1526">
        <v>0</v>
      </c>
      <c r="AM1526">
        <v>0</v>
      </c>
      <c r="AN1526">
        <v>0</v>
      </c>
      <c r="AO1526">
        <v>0</v>
      </c>
      <c r="AP1526">
        <v>280</v>
      </c>
      <c r="AT1526" t="str">
        <f t="shared" si="280"/>
        <v>9791137602113</v>
      </c>
      <c r="AV1526" t="str">
        <f t="shared" si="278"/>
        <v>판타지 웹소설 &gt; 현대 판타지</v>
      </c>
    </row>
    <row r="1527" spans="1:48" x14ac:dyDescent="0.4">
      <c r="A1527">
        <v>2313011955</v>
      </c>
      <c r="B1527">
        <v>2313012329</v>
      </c>
      <c r="C1527" t="str">
        <f>T("갓 오브 블랙필드 375화")</f>
        <v>갓 오브 블랙필드 375화</v>
      </c>
      <c r="D1527" t="str">
        <f>T("375")</f>
        <v>375</v>
      </c>
      <c r="E1527" t="str">
        <f t="shared" si="277"/>
        <v>무장</v>
      </c>
      <c r="H1527" t="str">
        <f t="shared" si="281"/>
        <v>스토리위즈</v>
      </c>
      <c r="I1527" t="str">
        <f t="shared" si="279"/>
        <v>갓 오브 블랙필드</v>
      </c>
      <c r="J1527">
        <v>100</v>
      </c>
      <c r="K1527">
        <v>400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400</v>
      </c>
      <c r="AH1527">
        <v>4</v>
      </c>
      <c r="AI1527">
        <v>0</v>
      </c>
      <c r="AJ1527">
        <v>0</v>
      </c>
      <c r="AK1527">
        <v>400</v>
      </c>
      <c r="AL1527">
        <v>0</v>
      </c>
      <c r="AM1527">
        <v>0</v>
      </c>
      <c r="AN1527">
        <v>0</v>
      </c>
      <c r="AO1527">
        <v>0</v>
      </c>
      <c r="AP1527">
        <v>280</v>
      </c>
      <c r="AT1527" t="str">
        <f t="shared" si="280"/>
        <v>9791137602113</v>
      </c>
      <c r="AV1527" t="str">
        <f t="shared" si="278"/>
        <v>판타지 웹소설 &gt; 현대 판타지</v>
      </c>
    </row>
    <row r="1528" spans="1:48" x14ac:dyDescent="0.4">
      <c r="A1528">
        <v>2313011955</v>
      </c>
      <c r="B1528">
        <v>2313012330</v>
      </c>
      <c r="C1528" t="str">
        <f>T("갓 오브 블랙필드 376화")</f>
        <v>갓 오브 블랙필드 376화</v>
      </c>
      <c r="D1528" t="str">
        <f>T("376")</f>
        <v>376</v>
      </c>
      <c r="E1528" t="str">
        <f t="shared" si="277"/>
        <v>무장</v>
      </c>
      <c r="H1528" t="str">
        <f t="shared" si="281"/>
        <v>스토리위즈</v>
      </c>
      <c r="I1528" t="str">
        <f t="shared" si="279"/>
        <v>갓 오브 블랙필드</v>
      </c>
      <c r="J1528">
        <v>100</v>
      </c>
      <c r="K1528">
        <v>400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400</v>
      </c>
      <c r="AH1528">
        <v>4</v>
      </c>
      <c r="AI1528">
        <v>0</v>
      </c>
      <c r="AJ1528">
        <v>0</v>
      </c>
      <c r="AK1528">
        <v>400</v>
      </c>
      <c r="AL1528">
        <v>0</v>
      </c>
      <c r="AM1528">
        <v>0</v>
      </c>
      <c r="AN1528">
        <v>0</v>
      </c>
      <c r="AO1528">
        <v>0</v>
      </c>
      <c r="AP1528">
        <v>280</v>
      </c>
      <c r="AT1528" t="str">
        <f t="shared" si="280"/>
        <v>9791137602113</v>
      </c>
      <c r="AV1528" t="str">
        <f t="shared" si="278"/>
        <v>판타지 웹소설 &gt; 현대 판타지</v>
      </c>
    </row>
    <row r="1529" spans="1:48" x14ac:dyDescent="0.4">
      <c r="A1529">
        <v>2313011955</v>
      </c>
      <c r="B1529">
        <v>2313012331</v>
      </c>
      <c r="C1529" t="str">
        <f>T("갓 오브 블랙필드 377화")</f>
        <v>갓 오브 블랙필드 377화</v>
      </c>
      <c r="D1529" t="str">
        <f>T("377")</f>
        <v>377</v>
      </c>
      <c r="E1529" t="str">
        <f t="shared" si="277"/>
        <v>무장</v>
      </c>
      <c r="H1529" t="str">
        <f t="shared" si="281"/>
        <v>스토리위즈</v>
      </c>
      <c r="I1529" t="str">
        <f t="shared" si="279"/>
        <v>갓 오브 블랙필드</v>
      </c>
      <c r="J1529">
        <v>100</v>
      </c>
      <c r="K1529">
        <v>400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400</v>
      </c>
      <c r="AH1529">
        <v>4</v>
      </c>
      <c r="AI1529">
        <v>0</v>
      </c>
      <c r="AJ1529">
        <v>0</v>
      </c>
      <c r="AK1529">
        <v>400</v>
      </c>
      <c r="AL1529">
        <v>0</v>
      </c>
      <c r="AM1529">
        <v>0</v>
      </c>
      <c r="AN1529">
        <v>0</v>
      </c>
      <c r="AO1529">
        <v>0</v>
      </c>
      <c r="AP1529">
        <v>280</v>
      </c>
      <c r="AT1529" t="str">
        <f t="shared" si="280"/>
        <v>9791137602113</v>
      </c>
      <c r="AV1529" t="str">
        <f t="shared" si="278"/>
        <v>판타지 웹소설 &gt; 현대 판타지</v>
      </c>
    </row>
    <row r="1530" spans="1:48" x14ac:dyDescent="0.4">
      <c r="A1530">
        <v>2313011955</v>
      </c>
      <c r="B1530">
        <v>2313012332</v>
      </c>
      <c r="C1530" t="str">
        <f>T("갓 오브 블랙필드 378화")</f>
        <v>갓 오브 블랙필드 378화</v>
      </c>
      <c r="D1530" t="str">
        <f>T("378")</f>
        <v>378</v>
      </c>
      <c r="E1530" t="str">
        <f t="shared" si="277"/>
        <v>무장</v>
      </c>
      <c r="H1530" t="str">
        <f t="shared" si="281"/>
        <v>스토리위즈</v>
      </c>
      <c r="I1530" t="str">
        <f t="shared" si="279"/>
        <v>갓 오브 블랙필드</v>
      </c>
      <c r="J1530">
        <v>100</v>
      </c>
      <c r="K1530">
        <v>400</v>
      </c>
      <c r="L1530">
        <v>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400</v>
      </c>
      <c r="AH1530">
        <v>4</v>
      </c>
      <c r="AI1530">
        <v>0</v>
      </c>
      <c r="AJ1530">
        <v>0</v>
      </c>
      <c r="AK1530">
        <v>400</v>
      </c>
      <c r="AL1530">
        <v>0</v>
      </c>
      <c r="AM1530">
        <v>0</v>
      </c>
      <c r="AN1530">
        <v>0</v>
      </c>
      <c r="AO1530">
        <v>0</v>
      </c>
      <c r="AP1530">
        <v>280</v>
      </c>
      <c r="AT1530" t="str">
        <f t="shared" si="280"/>
        <v>9791137602113</v>
      </c>
      <c r="AV1530" t="str">
        <f t="shared" si="278"/>
        <v>판타지 웹소설 &gt; 현대 판타지</v>
      </c>
    </row>
    <row r="1531" spans="1:48" x14ac:dyDescent="0.4">
      <c r="A1531">
        <v>2313011955</v>
      </c>
      <c r="B1531">
        <v>2313012333</v>
      </c>
      <c r="C1531" t="str">
        <f>T("갓 오브 블랙필드 379화")</f>
        <v>갓 오브 블랙필드 379화</v>
      </c>
      <c r="D1531" t="str">
        <f>T("379")</f>
        <v>379</v>
      </c>
      <c r="E1531" t="str">
        <f t="shared" si="277"/>
        <v>무장</v>
      </c>
      <c r="H1531" t="str">
        <f t="shared" si="281"/>
        <v>스토리위즈</v>
      </c>
      <c r="I1531" t="str">
        <f t="shared" si="279"/>
        <v>갓 오브 블랙필드</v>
      </c>
      <c r="J1531">
        <v>100</v>
      </c>
      <c r="K1531">
        <v>400</v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400</v>
      </c>
      <c r="AH1531">
        <v>4</v>
      </c>
      <c r="AI1531">
        <v>0</v>
      </c>
      <c r="AJ1531">
        <v>0</v>
      </c>
      <c r="AK1531">
        <v>400</v>
      </c>
      <c r="AL1531">
        <v>0</v>
      </c>
      <c r="AM1531">
        <v>0</v>
      </c>
      <c r="AN1531">
        <v>0</v>
      </c>
      <c r="AO1531">
        <v>0</v>
      </c>
      <c r="AP1531">
        <v>280</v>
      </c>
      <c r="AT1531" t="str">
        <f t="shared" si="280"/>
        <v>9791137602113</v>
      </c>
      <c r="AV1531" t="str">
        <f t="shared" si="278"/>
        <v>판타지 웹소설 &gt; 현대 판타지</v>
      </c>
    </row>
    <row r="1532" spans="1:48" x14ac:dyDescent="0.4">
      <c r="A1532">
        <v>2313011955</v>
      </c>
      <c r="B1532">
        <v>2313012334</v>
      </c>
      <c r="C1532" t="str">
        <f>T("갓 오브 블랙필드 380화")</f>
        <v>갓 오브 블랙필드 380화</v>
      </c>
      <c r="D1532" t="str">
        <f>T("380")</f>
        <v>380</v>
      </c>
      <c r="E1532" t="str">
        <f t="shared" si="277"/>
        <v>무장</v>
      </c>
      <c r="H1532" t="str">
        <f t="shared" si="281"/>
        <v>스토리위즈</v>
      </c>
      <c r="I1532" t="str">
        <f t="shared" si="279"/>
        <v>갓 오브 블랙필드</v>
      </c>
      <c r="J1532">
        <v>100</v>
      </c>
      <c r="K1532">
        <v>400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400</v>
      </c>
      <c r="AH1532">
        <v>4</v>
      </c>
      <c r="AI1532">
        <v>0</v>
      </c>
      <c r="AJ1532">
        <v>0</v>
      </c>
      <c r="AK1532">
        <v>400</v>
      </c>
      <c r="AL1532">
        <v>0</v>
      </c>
      <c r="AM1532">
        <v>0</v>
      </c>
      <c r="AN1532">
        <v>0</v>
      </c>
      <c r="AO1532">
        <v>0</v>
      </c>
      <c r="AP1532">
        <v>280</v>
      </c>
      <c r="AT1532" t="str">
        <f t="shared" si="280"/>
        <v>9791137602113</v>
      </c>
      <c r="AV1532" t="str">
        <f t="shared" si="278"/>
        <v>판타지 웹소설 &gt; 현대 판타지</v>
      </c>
    </row>
    <row r="1533" spans="1:48" x14ac:dyDescent="0.4">
      <c r="A1533">
        <v>2313011955</v>
      </c>
      <c r="B1533">
        <v>2313012335</v>
      </c>
      <c r="C1533" t="str">
        <f>T("갓 오브 블랙필드 381화")</f>
        <v>갓 오브 블랙필드 381화</v>
      </c>
      <c r="D1533" t="str">
        <f>T("381")</f>
        <v>381</v>
      </c>
      <c r="E1533" t="str">
        <f t="shared" si="277"/>
        <v>무장</v>
      </c>
      <c r="H1533" t="str">
        <f t="shared" si="281"/>
        <v>스토리위즈</v>
      </c>
      <c r="I1533" t="str">
        <f t="shared" si="279"/>
        <v>갓 오브 블랙필드</v>
      </c>
      <c r="J1533">
        <v>100</v>
      </c>
      <c r="K1533">
        <v>400</v>
      </c>
      <c r="L1533">
        <v>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400</v>
      </c>
      <c r="AH1533">
        <v>4</v>
      </c>
      <c r="AI1533">
        <v>0</v>
      </c>
      <c r="AJ1533">
        <v>0</v>
      </c>
      <c r="AK1533">
        <v>400</v>
      </c>
      <c r="AL1533">
        <v>0</v>
      </c>
      <c r="AM1533">
        <v>0</v>
      </c>
      <c r="AN1533">
        <v>0</v>
      </c>
      <c r="AO1533">
        <v>0</v>
      </c>
      <c r="AP1533">
        <v>280</v>
      </c>
      <c r="AT1533" t="str">
        <f t="shared" si="280"/>
        <v>9791137602113</v>
      </c>
      <c r="AV1533" t="str">
        <f t="shared" si="278"/>
        <v>판타지 웹소설 &gt; 현대 판타지</v>
      </c>
    </row>
    <row r="1534" spans="1:48" x14ac:dyDescent="0.4">
      <c r="A1534">
        <v>2313011955</v>
      </c>
      <c r="B1534">
        <v>2313012336</v>
      </c>
      <c r="C1534" t="str">
        <f>T("갓 오브 블랙필드 382화")</f>
        <v>갓 오브 블랙필드 382화</v>
      </c>
      <c r="D1534" t="str">
        <f>T("382")</f>
        <v>382</v>
      </c>
      <c r="E1534" t="str">
        <f t="shared" si="277"/>
        <v>무장</v>
      </c>
      <c r="H1534" t="str">
        <f t="shared" si="281"/>
        <v>스토리위즈</v>
      </c>
      <c r="I1534" t="str">
        <f t="shared" si="279"/>
        <v>갓 오브 블랙필드</v>
      </c>
      <c r="J1534">
        <v>100</v>
      </c>
      <c r="K1534">
        <v>400</v>
      </c>
      <c r="L1534">
        <v>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400</v>
      </c>
      <c r="AH1534">
        <v>4</v>
      </c>
      <c r="AI1534">
        <v>0</v>
      </c>
      <c r="AJ1534">
        <v>0</v>
      </c>
      <c r="AK1534">
        <v>400</v>
      </c>
      <c r="AL1534">
        <v>0</v>
      </c>
      <c r="AM1534">
        <v>0</v>
      </c>
      <c r="AN1534">
        <v>0</v>
      </c>
      <c r="AO1534">
        <v>0</v>
      </c>
      <c r="AP1534">
        <v>280</v>
      </c>
      <c r="AT1534" t="str">
        <f t="shared" si="280"/>
        <v>9791137602113</v>
      </c>
      <c r="AV1534" t="str">
        <f t="shared" si="278"/>
        <v>판타지 웹소설 &gt; 현대 판타지</v>
      </c>
    </row>
    <row r="1535" spans="1:48" x14ac:dyDescent="0.4">
      <c r="A1535">
        <v>2313011955</v>
      </c>
      <c r="B1535">
        <v>2313012337</v>
      </c>
      <c r="C1535" t="str">
        <f>T("갓 오브 블랙필드 383화")</f>
        <v>갓 오브 블랙필드 383화</v>
      </c>
      <c r="D1535" t="str">
        <f>T("383")</f>
        <v>383</v>
      </c>
      <c r="E1535" t="str">
        <f t="shared" si="277"/>
        <v>무장</v>
      </c>
      <c r="H1535" t="str">
        <f t="shared" si="281"/>
        <v>스토리위즈</v>
      </c>
      <c r="I1535" t="str">
        <f t="shared" si="279"/>
        <v>갓 오브 블랙필드</v>
      </c>
      <c r="J1535">
        <v>100</v>
      </c>
      <c r="K1535">
        <v>400</v>
      </c>
      <c r="L1535">
        <v>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400</v>
      </c>
      <c r="AH1535">
        <v>4</v>
      </c>
      <c r="AI1535">
        <v>0</v>
      </c>
      <c r="AJ1535">
        <v>0</v>
      </c>
      <c r="AK1535">
        <v>400</v>
      </c>
      <c r="AL1535">
        <v>0</v>
      </c>
      <c r="AM1535">
        <v>0</v>
      </c>
      <c r="AN1535">
        <v>0</v>
      </c>
      <c r="AO1535">
        <v>0</v>
      </c>
      <c r="AP1535">
        <v>280</v>
      </c>
      <c r="AT1535" t="str">
        <f t="shared" si="280"/>
        <v>9791137602113</v>
      </c>
      <c r="AV1535" t="str">
        <f t="shared" si="278"/>
        <v>판타지 웹소설 &gt; 현대 판타지</v>
      </c>
    </row>
    <row r="1536" spans="1:48" x14ac:dyDescent="0.4">
      <c r="A1536">
        <v>2313011955</v>
      </c>
      <c r="B1536">
        <v>2313012338</v>
      </c>
      <c r="C1536" t="str">
        <f>T("갓 오브 블랙필드 384화")</f>
        <v>갓 오브 블랙필드 384화</v>
      </c>
      <c r="D1536" t="str">
        <f>T("384")</f>
        <v>384</v>
      </c>
      <c r="E1536" t="str">
        <f t="shared" si="277"/>
        <v>무장</v>
      </c>
      <c r="H1536" t="str">
        <f t="shared" si="281"/>
        <v>스토리위즈</v>
      </c>
      <c r="I1536" t="str">
        <f t="shared" si="279"/>
        <v>갓 오브 블랙필드</v>
      </c>
      <c r="J1536">
        <v>100</v>
      </c>
      <c r="K1536">
        <v>400</v>
      </c>
      <c r="L1536">
        <v>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400</v>
      </c>
      <c r="AH1536">
        <v>4</v>
      </c>
      <c r="AI1536">
        <v>0</v>
      </c>
      <c r="AJ1536">
        <v>0</v>
      </c>
      <c r="AK1536">
        <v>400</v>
      </c>
      <c r="AL1536">
        <v>0</v>
      </c>
      <c r="AM1536">
        <v>0</v>
      </c>
      <c r="AN1536">
        <v>0</v>
      </c>
      <c r="AO1536">
        <v>0</v>
      </c>
      <c r="AP1536">
        <v>280</v>
      </c>
      <c r="AT1536" t="str">
        <f t="shared" si="280"/>
        <v>9791137602113</v>
      </c>
      <c r="AV1536" t="str">
        <f t="shared" si="278"/>
        <v>판타지 웹소설 &gt; 현대 판타지</v>
      </c>
    </row>
    <row r="1537" spans="1:48" x14ac:dyDescent="0.4">
      <c r="A1537">
        <v>2313011955</v>
      </c>
      <c r="B1537">
        <v>2313012339</v>
      </c>
      <c r="C1537" t="str">
        <f>T("갓 오브 블랙필드 385화")</f>
        <v>갓 오브 블랙필드 385화</v>
      </c>
      <c r="D1537" t="str">
        <f>T("385")</f>
        <v>385</v>
      </c>
      <c r="E1537" t="str">
        <f t="shared" si="277"/>
        <v>무장</v>
      </c>
      <c r="H1537" t="str">
        <f t="shared" si="281"/>
        <v>스토리위즈</v>
      </c>
      <c r="I1537" t="str">
        <f t="shared" si="279"/>
        <v>갓 오브 블랙필드</v>
      </c>
      <c r="J1537">
        <v>100</v>
      </c>
      <c r="K1537">
        <v>400</v>
      </c>
      <c r="L1537">
        <v>4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400</v>
      </c>
      <c r="AH1537">
        <v>4</v>
      </c>
      <c r="AI1537">
        <v>0</v>
      </c>
      <c r="AJ1537">
        <v>0</v>
      </c>
      <c r="AK1537">
        <v>400</v>
      </c>
      <c r="AL1537">
        <v>0</v>
      </c>
      <c r="AM1537">
        <v>0</v>
      </c>
      <c r="AN1537">
        <v>0</v>
      </c>
      <c r="AO1537">
        <v>0</v>
      </c>
      <c r="AP1537">
        <v>280</v>
      </c>
      <c r="AT1537" t="str">
        <f t="shared" si="280"/>
        <v>9791137602113</v>
      </c>
      <c r="AV1537" t="str">
        <f t="shared" si="278"/>
        <v>판타지 웹소설 &gt; 현대 판타지</v>
      </c>
    </row>
    <row r="1538" spans="1:48" x14ac:dyDescent="0.4">
      <c r="A1538">
        <v>2313011955</v>
      </c>
      <c r="B1538">
        <v>2313012340</v>
      </c>
      <c r="C1538" t="str">
        <f>T("갓 오브 블랙필드 386화")</f>
        <v>갓 오브 블랙필드 386화</v>
      </c>
      <c r="D1538" t="str">
        <f>T("386")</f>
        <v>386</v>
      </c>
      <c r="E1538" t="str">
        <f t="shared" si="277"/>
        <v>무장</v>
      </c>
      <c r="H1538" t="str">
        <f t="shared" si="281"/>
        <v>스토리위즈</v>
      </c>
      <c r="I1538" t="str">
        <f t="shared" si="279"/>
        <v>갓 오브 블랙필드</v>
      </c>
      <c r="J1538">
        <v>100</v>
      </c>
      <c r="K1538">
        <v>400</v>
      </c>
      <c r="L1538">
        <v>4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400</v>
      </c>
      <c r="AH1538">
        <v>4</v>
      </c>
      <c r="AI1538">
        <v>0</v>
      </c>
      <c r="AJ1538">
        <v>0</v>
      </c>
      <c r="AK1538">
        <v>400</v>
      </c>
      <c r="AL1538">
        <v>0</v>
      </c>
      <c r="AM1538">
        <v>0</v>
      </c>
      <c r="AN1538">
        <v>0</v>
      </c>
      <c r="AO1538">
        <v>0</v>
      </c>
      <c r="AP1538">
        <v>280</v>
      </c>
      <c r="AT1538" t="str">
        <f t="shared" si="280"/>
        <v>9791137602113</v>
      </c>
      <c r="AV1538" t="str">
        <f t="shared" si="278"/>
        <v>판타지 웹소설 &gt; 현대 판타지</v>
      </c>
    </row>
    <row r="1539" spans="1:48" x14ac:dyDescent="0.4">
      <c r="A1539">
        <v>2313011955</v>
      </c>
      <c r="B1539">
        <v>2313012341</v>
      </c>
      <c r="C1539" t="str">
        <f>T("갓 오브 블랙필드 387화")</f>
        <v>갓 오브 블랙필드 387화</v>
      </c>
      <c r="D1539" t="str">
        <f>T("387")</f>
        <v>387</v>
      </c>
      <c r="E1539" t="str">
        <f t="shared" si="277"/>
        <v>무장</v>
      </c>
      <c r="H1539" t="str">
        <f t="shared" si="281"/>
        <v>스토리위즈</v>
      </c>
      <c r="I1539" t="str">
        <f t="shared" si="279"/>
        <v>갓 오브 블랙필드</v>
      </c>
      <c r="J1539">
        <v>100</v>
      </c>
      <c r="K1539">
        <v>400</v>
      </c>
      <c r="L1539">
        <v>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400</v>
      </c>
      <c r="AH1539">
        <v>4</v>
      </c>
      <c r="AI1539">
        <v>0</v>
      </c>
      <c r="AJ1539">
        <v>0</v>
      </c>
      <c r="AK1539">
        <v>400</v>
      </c>
      <c r="AL1539">
        <v>0</v>
      </c>
      <c r="AM1539">
        <v>0</v>
      </c>
      <c r="AN1539">
        <v>0</v>
      </c>
      <c r="AO1539">
        <v>0</v>
      </c>
      <c r="AP1539">
        <v>280</v>
      </c>
      <c r="AT1539" t="str">
        <f t="shared" si="280"/>
        <v>9791137602113</v>
      </c>
      <c r="AV1539" t="str">
        <f t="shared" si="278"/>
        <v>판타지 웹소설 &gt; 현대 판타지</v>
      </c>
    </row>
    <row r="1540" spans="1:48" x14ac:dyDescent="0.4">
      <c r="A1540">
        <v>2313011955</v>
      </c>
      <c r="B1540">
        <v>2313012342</v>
      </c>
      <c r="C1540" t="str">
        <f>T("갓 오브 블랙필드 388화")</f>
        <v>갓 오브 블랙필드 388화</v>
      </c>
      <c r="D1540" t="str">
        <f>T("388")</f>
        <v>388</v>
      </c>
      <c r="E1540" t="str">
        <f t="shared" si="277"/>
        <v>무장</v>
      </c>
      <c r="H1540" t="str">
        <f t="shared" si="281"/>
        <v>스토리위즈</v>
      </c>
      <c r="I1540" t="str">
        <f t="shared" si="279"/>
        <v>갓 오브 블랙필드</v>
      </c>
      <c r="J1540">
        <v>100</v>
      </c>
      <c r="K1540">
        <v>400</v>
      </c>
      <c r="L1540">
        <v>4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400</v>
      </c>
      <c r="AH1540">
        <v>4</v>
      </c>
      <c r="AI1540">
        <v>0</v>
      </c>
      <c r="AJ1540">
        <v>0</v>
      </c>
      <c r="AK1540">
        <v>400</v>
      </c>
      <c r="AL1540">
        <v>0</v>
      </c>
      <c r="AM1540">
        <v>0</v>
      </c>
      <c r="AN1540">
        <v>0</v>
      </c>
      <c r="AO1540">
        <v>0</v>
      </c>
      <c r="AP1540">
        <v>280</v>
      </c>
      <c r="AT1540" t="str">
        <f t="shared" si="280"/>
        <v>9791137602113</v>
      </c>
      <c r="AV1540" t="str">
        <f t="shared" si="278"/>
        <v>판타지 웹소설 &gt; 현대 판타지</v>
      </c>
    </row>
    <row r="1541" spans="1:48" x14ac:dyDescent="0.4">
      <c r="A1541">
        <v>2313011955</v>
      </c>
      <c r="B1541">
        <v>2313012343</v>
      </c>
      <c r="C1541" t="str">
        <f>T("갓 오브 블랙필드 389화")</f>
        <v>갓 오브 블랙필드 389화</v>
      </c>
      <c r="D1541" t="str">
        <f>T("389")</f>
        <v>389</v>
      </c>
      <c r="E1541" t="str">
        <f t="shared" si="277"/>
        <v>무장</v>
      </c>
      <c r="H1541" t="str">
        <f t="shared" si="281"/>
        <v>스토리위즈</v>
      </c>
      <c r="I1541" t="str">
        <f t="shared" si="279"/>
        <v>갓 오브 블랙필드</v>
      </c>
      <c r="J1541">
        <v>100</v>
      </c>
      <c r="K1541">
        <v>400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400</v>
      </c>
      <c r="AH1541">
        <v>4</v>
      </c>
      <c r="AI1541">
        <v>0</v>
      </c>
      <c r="AJ1541">
        <v>0</v>
      </c>
      <c r="AK1541">
        <v>400</v>
      </c>
      <c r="AL1541">
        <v>0</v>
      </c>
      <c r="AM1541">
        <v>0</v>
      </c>
      <c r="AN1541">
        <v>0</v>
      </c>
      <c r="AO1541">
        <v>0</v>
      </c>
      <c r="AP1541">
        <v>280</v>
      </c>
      <c r="AT1541" t="str">
        <f t="shared" si="280"/>
        <v>9791137602113</v>
      </c>
      <c r="AV1541" t="str">
        <f t="shared" si="278"/>
        <v>판타지 웹소설 &gt; 현대 판타지</v>
      </c>
    </row>
    <row r="1542" spans="1:48" x14ac:dyDescent="0.4">
      <c r="A1542">
        <v>2313011955</v>
      </c>
      <c r="B1542">
        <v>2313012344</v>
      </c>
      <c r="C1542" t="str">
        <f>T("갓 오브 블랙필드 390화")</f>
        <v>갓 오브 블랙필드 390화</v>
      </c>
      <c r="D1542" t="str">
        <f>T("390")</f>
        <v>390</v>
      </c>
      <c r="E1542" t="str">
        <f t="shared" si="277"/>
        <v>무장</v>
      </c>
      <c r="H1542" t="str">
        <f t="shared" si="281"/>
        <v>스토리위즈</v>
      </c>
      <c r="I1542" t="str">
        <f t="shared" si="279"/>
        <v>갓 오브 블랙필드</v>
      </c>
      <c r="J1542">
        <v>100</v>
      </c>
      <c r="K1542">
        <v>400</v>
      </c>
      <c r="L1542">
        <v>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400</v>
      </c>
      <c r="AH1542">
        <v>4</v>
      </c>
      <c r="AI1542">
        <v>0</v>
      </c>
      <c r="AJ1542">
        <v>0</v>
      </c>
      <c r="AK1542">
        <v>400</v>
      </c>
      <c r="AL1542">
        <v>0</v>
      </c>
      <c r="AM1542">
        <v>0</v>
      </c>
      <c r="AN1542">
        <v>0</v>
      </c>
      <c r="AO1542">
        <v>0</v>
      </c>
      <c r="AP1542">
        <v>280</v>
      </c>
      <c r="AT1542" t="str">
        <f t="shared" si="280"/>
        <v>9791137602113</v>
      </c>
      <c r="AV1542" t="str">
        <f t="shared" si="278"/>
        <v>판타지 웹소설 &gt; 현대 판타지</v>
      </c>
    </row>
    <row r="1543" spans="1:48" x14ac:dyDescent="0.4">
      <c r="A1543">
        <v>2313011955</v>
      </c>
      <c r="B1543">
        <v>2313012345</v>
      </c>
      <c r="C1543" t="str">
        <f>T("갓 오브 블랙필드 391화")</f>
        <v>갓 오브 블랙필드 391화</v>
      </c>
      <c r="D1543" t="str">
        <f>T("391")</f>
        <v>391</v>
      </c>
      <c r="E1543" t="str">
        <f t="shared" si="277"/>
        <v>무장</v>
      </c>
      <c r="H1543" t="str">
        <f t="shared" si="281"/>
        <v>스토리위즈</v>
      </c>
      <c r="I1543" t="str">
        <f t="shared" si="279"/>
        <v>갓 오브 블랙필드</v>
      </c>
      <c r="J1543">
        <v>100</v>
      </c>
      <c r="K1543">
        <v>400</v>
      </c>
      <c r="L1543">
        <v>4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400</v>
      </c>
      <c r="AH1543">
        <v>4</v>
      </c>
      <c r="AI1543">
        <v>0</v>
      </c>
      <c r="AJ1543">
        <v>0</v>
      </c>
      <c r="AK1543">
        <v>400</v>
      </c>
      <c r="AL1543">
        <v>0</v>
      </c>
      <c r="AM1543">
        <v>0</v>
      </c>
      <c r="AN1543">
        <v>0</v>
      </c>
      <c r="AO1543">
        <v>0</v>
      </c>
      <c r="AP1543">
        <v>280</v>
      </c>
      <c r="AT1543" t="str">
        <f t="shared" si="280"/>
        <v>9791137602113</v>
      </c>
      <c r="AV1543" t="str">
        <f t="shared" si="278"/>
        <v>판타지 웹소설 &gt; 현대 판타지</v>
      </c>
    </row>
    <row r="1544" spans="1:48" x14ac:dyDescent="0.4">
      <c r="A1544">
        <v>2313011955</v>
      </c>
      <c r="B1544">
        <v>2313012346</v>
      </c>
      <c r="C1544" t="str">
        <f>T("갓 오브 블랙필드 392화")</f>
        <v>갓 오브 블랙필드 392화</v>
      </c>
      <c r="D1544" t="str">
        <f>T("392")</f>
        <v>392</v>
      </c>
      <c r="E1544" t="str">
        <f t="shared" si="277"/>
        <v>무장</v>
      </c>
      <c r="H1544" t="str">
        <f t="shared" si="281"/>
        <v>스토리위즈</v>
      </c>
      <c r="I1544" t="str">
        <f t="shared" si="279"/>
        <v>갓 오브 블랙필드</v>
      </c>
      <c r="J1544">
        <v>100</v>
      </c>
      <c r="K1544">
        <v>400</v>
      </c>
      <c r="L1544">
        <v>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400</v>
      </c>
      <c r="AH1544">
        <v>4</v>
      </c>
      <c r="AI1544">
        <v>0</v>
      </c>
      <c r="AJ1544">
        <v>0</v>
      </c>
      <c r="AK1544">
        <v>400</v>
      </c>
      <c r="AL1544">
        <v>0</v>
      </c>
      <c r="AM1544">
        <v>0</v>
      </c>
      <c r="AN1544">
        <v>0</v>
      </c>
      <c r="AO1544">
        <v>0</v>
      </c>
      <c r="AP1544">
        <v>280</v>
      </c>
      <c r="AT1544" t="str">
        <f t="shared" si="280"/>
        <v>9791137602113</v>
      </c>
      <c r="AV1544" t="str">
        <f t="shared" si="278"/>
        <v>판타지 웹소설 &gt; 현대 판타지</v>
      </c>
    </row>
    <row r="1545" spans="1:48" x14ac:dyDescent="0.4">
      <c r="A1545">
        <v>2313011955</v>
      </c>
      <c r="B1545">
        <v>2313012347</v>
      </c>
      <c r="C1545" t="str">
        <f>T("갓 오브 블랙필드 393화")</f>
        <v>갓 오브 블랙필드 393화</v>
      </c>
      <c r="D1545" t="str">
        <f>T("393")</f>
        <v>393</v>
      </c>
      <c r="E1545" t="str">
        <f t="shared" ref="E1545:E1608" si="282">T("무장")</f>
        <v>무장</v>
      </c>
      <c r="H1545" t="str">
        <f t="shared" si="281"/>
        <v>스토리위즈</v>
      </c>
      <c r="I1545" t="str">
        <f t="shared" si="279"/>
        <v>갓 오브 블랙필드</v>
      </c>
      <c r="J1545">
        <v>100</v>
      </c>
      <c r="K1545">
        <v>400</v>
      </c>
      <c r="L1545">
        <v>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400</v>
      </c>
      <c r="AH1545">
        <v>4</v>
      </c>
      <c r="AI1545">
        <v>0</v>
      </c>
      <c r="AJ1545">
        <v>0</v>
      </c>
      <c r="AK1545">
        <v>400</v>
      </c>
      <c r="AL1545">
        <v>0</v>
      </c>
      <c r="AM1545">
        <v>0</v>
      </c>
      <c r="AN1545">
        <v>0</v>
      </c>
      <c r="AO1545">
        <v>0</v>
      </c>
      <c r="AP1545">
        <v>280</v>
      </c>
      <c r="AT1545" t="str">
        <f t="shared" si="280"/>
        <v>9791137602113</v>
      </c>
      <c r="AV1545" t="str">
        <f t="shared" ref="AV1545:AV1608" si="283">T("판타지 웹소설 &gt; 현대 판타지")</f>
        <v>판타지 웹소설 &gt; 현대 판타지</v>
      </c>
    </row>
    <row r="1546" spans="1:48" x14ac:dyDescent="0.4">
      <c r="A1546">
        <v>2313011955</v>
      </c>
      <c r="B1546">
        <v>2313012348</v>
      </c>
      <c r="C1546" t="str">
        <f>T("갓 오브 블랙필드 394화")</f>
        <v>갓 오브 블랙필드 394화</v>
      </c>
      <c r="D1546" t="str">
        <f>T("394")</f>
        <v>394</v>
      </c>
      <c r="E1546" t="str">
        <f t="shared" si="282"/>
        <v>무장</v>
      </c>
      <c r="H1546" t="str">
        <f t="shared" si="281"/>
        <v>스토리위즈</v>
      </c>
      <c r="I1546" t="str">
        <f t="shared" si="279"/>
        <v>갓 오브 블랙필드</v>
      </c>
      <c r="J1546">
        <v>100</v>
      </c>
      <c r="K1546">
        <v>400</v>
      </c>
      <c r="L1546">
        <v>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400</v>
      </c>
      <c r="AH1546">
        <v>4</v>
      </c>
      <c r="AI1546">
        <v>0</v>
      </c>
      <c r="AJ1546">
        <v>0</v>
      </c>
      <c r="AK1546">
        <v>400</v>
      </c>
      <c r="AL1546">
        <v>0</v>
      </c>
      <c r="AM1546">
        <v>0</v>
      </c>
      <c r="AN1546">
        <v>0</v>
      </c>
      <c r="AO1546">
        <v>0</v>
      </c>
      <c r="AP1546">
        <v>280</v>
      </c>
      <c r="AT1546" t="str">
        <f t="shared" si="280"/>
        <v>9791137602113</v>
      </c>
      <c r="AV1546" t="str">
        <f t="shared" si="283"/>
        <v>판타지 웹소설 &gt; 현대 판타지</v>
      </c>
    </row>
    <row r="1547" spans="1:48" x14ac:dyDescent="0.4">
      <c r="A1547">
        <v>2313011955</v>
      </c>
      <c r="B1547">
        <v>2313012349</v>
      </c>
      <c r="C1547" t="str">
        <f>T("갓 오브 블랙필드 395화")</f>
        <v>갓 오브 블랙필드 395화</v>
      </c>
      <c r="D1547" t="str">
        <f>T("395")</f>
        <v>395</v>
      </c>
      <c r="E1547" t="str">
        <f t="shared" si="282"/>
        <v>무장</v>
      </c>
      <c r="H1547" t="str">
        <f t="shared" si="281"/>
        <v>스토리위즈</v>
      </c>
      <c r="I1547" t="str">
        <f t="shared" si="279"/>
        <v>갓 오브 블랙필드</v>
      </c>
      <c r="J1547">
        <v>100</v>
      </c>
      <c r="K1547">
        <v>400</v>
      </c>
      <c r="L1547">
        <v>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400</v>
      </c>
      <c r="AH1547">
        <v>4</v>
      </c>
      <c r="AI1547">
        <v>0</v>
      </c>
      <c r="AJ1547">
        <v>0</v>
      </c>
      <c r="AK1547">
        <v>400</v>
      </c>
      <c r="AL1547">
        <v>0</v>
      </c>
      <c r="AM1547">
        <v>0</v>
      </c>
      <c r="AN1547">
        <v>0</v>
      </c>
      <c r="AO1547">
        <v>0</v>
      </c>
      <c r="AP1547">
        <v>280</v>
      </c>
      <c r="AT1547" t="str">
        <f t="shared" si="280"/>
        <v>9791137602113</v>
      </c>
      <c r="AV1547" t="str">
        <f t="shared" si="283"/>
        <v>판타지 웹소설 &gt; 현대 판타지</v>
      </c>
    </row>
    <row r="1548" spans="1:48" x14ac:dyDescent="0.4">
      <c r="A1548">
        <v>2313011955</v>
      </c>
      <c r="B1548">
        <v>2313012350</v>
      </c>
      <c r="C1548" t="str">
        <f>T("갓 오브 블랙필드 396화")</f>
        <v>갓 오브 블랙필드 396화</v>
      </c>
      <c r="D1548" t="str">
        <f>T("396")</f>
        <v>396</v>
      </c>
      <c r="E1548" t="str">
        <f t="shared" si="282"/>
        <v>무장</v>
      </c>
      <c r="H1548" t="str">
        <f t="shared" si="281"/>
        <v>스토리위즈</v>
      </c>
      <c r="I1548" t="str">
        <f t="shared" si="279"/>
        <v>갓 오브 블랙필드</v>
      </c>
      <c r="J1548">
        <v>100</v>
      </c>
      <c r="K1548">
        <v>400</v>
      </c>
      <c r="L1548">
        <v>4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400</v>
      </c>
      <c r="AH1548">
        <v>4</v>
      </c>
      <c r="AI1548">
        <v>0</v>
      </c>
      <c r="AJ1548">
        <v>0</v>
      </c>
      <c r="AK1548">
        <v>400</v>
      </c>
      <c r="AL1548">
        <v>0</v>
      </c>
      <c r="AM1548">
        <v>0</v>
      </c>
      <c r="AN1548">
        <v>0</v>
      </c>
      <c r="AO1548">
        <v>0</v>
      </c>
      <c r="AP1548">
        <v>280</v>
      </c>
      <c r="AT1548" t="str">
        <f t="shared" si="280"/>
        <v>9791137602113</v>
      </c>
      <c r="AV1548" t="str">
        <f t="shared" si="283"/>
        <v>판타지 웹소설 &gt; 현대 판타지</v>
      </c>
    </row>
    <row r="1549" spans="1:48" x14ac:dyDescent="0.4">
      <c r="A1549">
        <v>2313011955</v>
      </c>
      <c r="B1549">
        <v>2313012351</v>
      </c>
      <c r="C1549" t="str">
        <f>T("갓 오브 블랙필드 397화")</f>
        <v>갓 오브 블랙필드 397화</v>
      </c>
      <c r="D1549" t="str">
        <f>T("397")</f>
        <v>397</v>
      </c>
      <c r="E1549" t="str">
        <f t="shared" si="282"/>
        <v>무장</v>
      </c>
      <c r="H1549" t="str">
        <f t="shared" si="281"/>
        <v>스토리위즈</v>
      </c>
      <c r="I1549" t="str">
        <f t="shared" si="279"/>
        <v>갓 오브 블랙필드</v>
      </c>
      <c r="J1549">
        <v>100</v>
      </c>
      <c r="K1549">
        <v>400</v>
      </c>
      <c r="L1549">
        <v>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400</v>
      </c>
      <c r="AH1549">
        <v>4</v>
      </c>
      <c r="AI1549">
        <v>0</v>
      </c>
      <c r="AJ1549">
        <v>0</v>
      </c>
      <c r="AK1549">
        <v>400</v>
      </c>
      <c r="AL1549">
        <v>0</v>
      </c>
      <c r="AM1549">
        <v>0</v>
      </c>
      <c r="AN1549">
        <v>0</v>
      </c>
      <c r="AO1549">
        <v>0</v>
      </c>
      <c r="AP1549">
        <v>280</v>
      </c>
      <c r="AT1549" t="str">
        <f t="shared" si="280"/>
        <v>9791137602113</v>
      </c>
      <c r="AV1549" t="str">
        <f t="shared" si="283"/>
        <v>판타지 웹소설 &gt; 현대 판타지</v>
      </c>
    </row>
    <row r="1550" spans="1:48" x14ac:dyDescent="0.4">
      <c r="A1550">
        <v>2313011955</v>
      </c>
      <c r="B1550">
        <v>2313012352</v>
      </c>
      <c r="C1550" t="str">
        <f>T("갓 오브 블랙필드 398화")</f>
        <v>갓 오브 블랙필드 398화</v>
      </c>
      <c r="D1550" t="str">
        <f>T("398")</f>
        <v>398</v>
      </c>
      <c r="E1550" t="str">
        <f t="shared" si="282"/>
        <v>무장</v>
      </c>
      <c r="H1550" t="str">
        <f t="shared" si="281"/>
        <v>스토리위즈</v>
      </c>
      <c r="I1550" t="str">
        <f t="shared" si="279"/>
        <v>갓 오브 블랙필드</v>
      </c>
      <c r="J1550">
        <v>100</v>
      </c>
      <c r="K1550">
        <v>400</v>
      </c>
      <c r="L1550">
        <v>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400</v>
      </c>
      <c r="AH1550">
        <v>4</v>
      </c>
      <c r="AI1550">
        <v>0</v>
      </c>
      <c r="AJ1550">
        <v>0</v>
      </c>
      <c r="AK1550">
        <v>400</v>
      </c>
      <c r="AL1550">
        <v>0</v>
      </c>
      <c r="AM1550">
        <v>0</v>
      </c>
      <c r="AN1550">
        <v>0</v>
      </c>
      <c r="AO1550">
        <v>0</v>
      </c>
      <c r="AP1550">
        <v>280</v>
      </c>
      <c r="AT1550" t="str">
        <f t="shared" si="280"/>
        <v>9791137602113</v>
      </c>
      <c r="AV1550" t="str">
        <f t="shared" si="283"/>
        <v>판타지 웹소설 &gt; 현대 판타지</v>
      </c>
    </row>
    <row r="1551" spans="1:48" x14ac:dyDescent="0.4">
      <c r="A1551">
        <v>2313011955</v>
      </c>
      <c r="B1551">
        <v>2313012353</v>
      </c>
      <c r="C1551" t="str">
        <f>T("갓 오브 블랙필드 399화")</f>
        <v>갓 오브 블랙필드 399화</v>
      </c>
      <c r="D1551" t="str">
        <f>T("399")</f>
        <v>399</v>
      </c>
      <c r="E1551" t="str">
        <f t="shared" si="282"/>
        <v>무장</v>
      </c>
      <c r="H1551" t="str">
        <f t="shared" si="281"/>
        <v>스토리위즈</v>
      </c>
      <c r="I1551" t="str">
        <f t="shared" si="279"/>
        <v>갓 오브 블랙필드</v>
      </c>
      <c r="J1551">
        <v>100</v>
      </c>
      <c r="K1551">
        <v>400</v>
      </c>
      <c r="L1551">
        <v>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400</v>
      </c>
      <c r="AH1551">
        <v>4</v>
      </c>
      <c r="AI1551">
        <v>0</v>
      </c>
      <c r="AJ1551">
        <v>0</v>
      </c>
      <c r="AK1551">
        <v>400</v>
      </c>
      <c r="AL1551">
        <v>0</v>
      </c>
      <c r="AM1551">
        <v>0</v>
      </c>
      <c r="AN1551">
        <v>0</v>
      </c>
      <c r="AO1551">
        <v>0</v>
      </c>
      <c r="AP1551">
        <v>280</v>
      </c>
      <c r="AT1551" t="str">
        <f t="shared" si="280"/>
        <v>9791137602113</v>
      </c>
      <c r="AV1551" t="str">
        <f t="shared" si="283"/>
        <v>판타지 웹소설 &gt; 현대 판타지</v>
      </c>
    </row>
    <row r="1552" spans="1:48" x14ac:dyDescent="0.4">
      <c r="A1552">
        <v>2313011955</v>
      </c>
      <c r="B1552">
        <v>2313012354</v>
      </c>
      <c r="C1552" t="str">
        <f>T("갓 오브 블랙필드 400화")</f>
        <v>갓 오브 블랙필드 400화</v>
      </c>
      <c r="D1552" t="str">
        <f>T("400")</f>
        <v>400</v>
      </c>
      <c r="E1552" t="str">
        <f t="shared" si="282"/>
        <v>무장</v>
      </c>
      <c r="H1552" t="str">
        <f t="shared" si="281"/>
        <v>스토리위즈</v>
      </c>
      <c r="I1552" t="str">
        <f t="shared" si="279"/>
        <v>갓 오브 블랙필드</v>
      </c>
      <c r="J1552">
        <v>100</v>
      </c>
      <c r="K1552">
        <v>400</v>
      </c>
      <c r="L1552">
        <v>4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400</v>
      </c>
      <c r="AH1552">
        <v>4</v>
      </c>
      <c r="AI1552">
        <v>0</v>
      </c>
      <c r="AJ1552">
        <v>0</v>
      </c>
      <c r="AK1552">
        <v>400</v>
      </c>
      <c r="AL1552">
        <v>0</v>
      </c>
      <c r="AM1552">
        <v>0</v>
      </c>
      <c r="AN1552">
        <v>0</v>
      </c>
      <c r="AO1552">
        <v>0</v>
      </c>
      <c r="AP1552">
        <v>280</v>
      </c>
      <c r="AT1552" t="str">
        <f t="shared" si="280"/>
        <v>9791137602113</v>
      </c>
      <c r="AV1552" t="str">
        <f t="shared" si="283"/>
        <v>판타지 웹소설 &gt; 현대 판타지</v>
      </c>
    </row>
    <row r="1553" spans="1:48" x14ac:dyDescent="0.4">
      <c r="A1553">
        <v>2313011955</v>
      </c>
      <c r="B1553">
        <v>2313012355</v>
      </c>
      <c r="C1553" t="str">
        <f>T("갓 오브 블랙필드 401화")</f>
        <v>갓 오브 블랙필드 401화</v>
      </c>
      <c r="D1553" t="str">
        <f>T("401")</f>
        <v>401</v>
      </c>
      <c r="E1553" t="str">
        <f t="shared" si="282"/>
        <v>무장</v>
      </c>
      <c r="H1553" t="str">
        <f t="shared" si="281"/>
        <v>스토리위즈</v>
      </c>
      <c r="I1553" t="str">
        <f t="shared" si="279"/>
        <v>갓 오브 블랙필드</v>
      </c>
      <c r="J1553">
        <v>100</v>
      </c>
      <c r="K1553">
        <v>400</v>
      </c>
      <c r="L1553">
        <v>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400</v>
      </c>
      <c r="AH1553">
        <v>4</v>
      </c>
      <c r="AI1553">
        <v>0</v>
      </c>
      <c r="AJ1553">
        <v>0</v>
      </c>
      <c r="AK1553">
        <v>400</v>
      </c>
      <c r="AL1553">
        <v>0</v>
      </c>
      <c r="AM1553">
        <v>0</v>
      </c>
      <c r="AN1553">
        <v>0</v>
      </c>
      <c r="AO1553">
        <v>0</v>
      </c>
      <c r="AP1553">
        <v>280</v>
      </c>
      <c r="AT1553" t="str">
        <f t="shared" si="280"/>
        <v>9791137602113</v>
      </c>
      <c r="AV1553" t="str">
        <f t="shared" si="283"/>
        <v>판타지 웹소설 &gt; 현대 판타지</v>
      </c>
    </row>
    <row r="1554" spans="1:48" x14ac:dyDescent="0.4">
      <c r="A1554">
        <v>2313011955</v>
      </c>
      <c r="B1554">
        <v>2313012356</v>
      </c>
      <c r="C1554" t="str">
        <f>T("갓 오브 블랙필드 402화")</f>
        <v>갓 오브 블랙필드 402화</v>
      </c>
      <c r="D1554" t="str">
        <f>T("402")</f>
        <v>402</v>
      </c>
      <c r="E1554" t="str">
        <f t="shared" si="282"/>
        <v>무장</v>
      </c>
      <c r="H1554" t="str">
        <f t="shared" si="281"/>
        <v>스토리위즈</v>
      </c>
      <c r="I1554" t="str">
        <f t="shared" si="279"/>
        <v>갓 오브 블랙필드</v>
      </c>
      <c r="J1554">
        <v>100</v>
      </c>
      <c r="K1554">
        <v>400</v>
      </c>
      <c r="L1554">
        <v>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400</v>
      </c>
      <c r="AH1554">
        <v>4</v>
      </c>
      <c r="AI1554">
        <v>0</v>
      </c>
      <c r="AJ1554">
        <v>0</v>
      </c>
      <c r="AK1554">
        <v>400</v>
      </c>
      <c r="AL1554">
        <v>0</v>
      </c>
      <c r="AM1554">
        <v>0</v>
      </c>
      <c r="AN1554">
        <v>0</v>
      </c>
      <c r="AO1554">
        <v>0</v>
      </c>
      <c r="AP1554">
        <v>280</v>
      </c>
      <c r="AT1554" t="str">
        <f t="shared" si="280"/>
        <v>9791137602113</v>
      </c>
      <c r="AV1554" t="str">
        <f t="shared" si="283"/>
        <v>판타지 웹소설 &gt; 현대 판타지</v>
      </c>
    </row>
    <row r="1555" spans="1:48" x14ac:dyDescent="0.4">
      <c r="A1555">
        <v>2313011955</v>
      </c>
      <c r="B1555">
        <v>2313012357</v>
      </c>
      <c r="C1555" t="str">
        <f>T("갓 오브 블랙필드 403화")</f>
        <v>갓 오브 블랙필드 403화</v>
      </c>
      <c r="D1555" t="str">
        <f>T("403")</f>
        <v>403</v>
      </c>
      <c r="E1555" t="str">
        <f t="shared" si="282"/>
        <v>무장</v>
      </c>
      <c r="H1555" t="str">
        <f t="shared" si="281"/>
        <v>스토리위즈</v>
      </c>
      <c r="I1555" t="str">
        <f t="shared" si="279"/>
        <v>갓 오브 블랙필드</v>
      </c>
      <c r="J1555">
        <v>100</v>
      </c>
      <c r="K1555">
        <v>400</v>
      </c>
      <c r="L1555">
        <v>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400</v>
      </c>
      <c r="AH1555">
        <v>4</v>
      </c>
      <c r="AI1555">
        <v>0</v>
      </c>
      <c r="AJ1555">
        <v>0</v>
      </c>
      <c r="AK1555">
        <v>400</v>
      </c>
      <c r="AL1555">
        <v>0</v>
      </c>
      <c r="AM1555">
        <v>0</v>
      </c>
      <c r="AN1555">
        <v>0</v>
      </c>
      <c r="AO1555">
        <v>0</v>
      </c>
      <c r="AP1555">
        <v>280</v>
      </c>
      <c r="AT1555" t="str">
        <f t="shared" si="280"/>
        <v>9791137602113</v>
      </c>
      <c r="AV1555" t="str">
        <f t="shared" si="283"/>
        <v>판타지 웹소설 &gt; 현대 판타지</v>
      </c>
    </row>
    <row r="1556" spans="1:48" x14ac:dyDescent="0.4">
      <c r="A1556">
        <v>2313011955</v>
      </c>
      <c r="B1556">
        <v>2313012358</v>
      </c>
      <c r="C1556" t="str">
        <f>T("갓 오브 블랙필드 404화")</f>
        <v>갓 오브 블랙필드 404화</v>
      </c>
      <c r="D1556" t="str">
        <f>T("404")</f>
        <v>404</v>
      </c>
      <c r="E1556" t="str">
        <f t="shared" si="282"/>
        <v>무장</v>
      </c>
      <c r="H1556" t="str">
        <f t="shared" si="281"/>
        <v>스토리위즈</v>
      </c>
      <c r="I1556" t="str">
        <f t="shared" si="279"/>
        <v>갓 오브 블랙필드</v>
      </c>
      <c r="J1556">
        <v>100</v>
      </c>
      <c r="K1556">
        <v>400</v>
      </c>
      <c r="L1556">
        <v>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400</v>
      </c>
      <c r="AH1556">
        <v>4</v>
      </c>
      <c r="AI1556">
        <v>0</v>
      </c>
      <c r="AJ1556">
        <v>0</v>
      </c>
      <c r="AK1556">
        <v>400</v>
      </c>
      <c r="AL1556">
        <v>0</v>
      </c>
      <c r="AM1556">
        <v>0</v>
      </c>
      <c r="AN1556">
        <v>0</v>
      </c>
      <c r="AO1556">
        <v>0</v>
      </c>
      <c r="AP1556">
        <v>280</v>
      </c>
      <c r="AT1556" t="str">
        <f t="shared" si="280"/>
        <v>9791137602113</v>
      </c>
      <c r="AV1556" t="str">
        <f t="shared" si="283"/>
        <v>판타지 웹소설 &gt; 현대 판타지</v>
      </c>
    </row>
    <row r="1557" spans="1:48" x14ac:dyDescent="0.4">
      <c r="A1557">
        <v>2313011955</v>
      </c>
      <c r="B1557">
        <v>2313012359</v>
      </c>
      <c r="C1557" t="str">
        <f>T("갓 오브 블랙필드 405화")</f>
        <v>갓 오브 블랙필드 405화</v>
      </c>
      <c r="D1557" t="str">
        <f>T("405")</f>
        <v>405</v>
      </c>
      <c r="E1557" t="str">
        <f t="shared" si="282"/>
        <v>무장</v>
      </c>
      <c r="H1557" t="str">
        <f t="shared" si="281"/>
        <v>스토리위즈</v>
      </c>
      <c r="I1557" t="str">
        <f t="shared" si="279"/>
        <v>갓 오브 블랙필드</v>
      </c>
      <c r="J1557">
        <v>100</v>
      </c>
      <c r="K1557">
        <v>400</v>
      </c>
      <c r="L1557">
        <v>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400</v>
      </c>
      <c r="AH1557">
        <v>4</v>
      </c>
      <c r="AI1557">
        <v>0</v>
      </c>
      <c r="AJ1557">
        <v>0</v>
      </c>
      <c r="AK1557">
        <v>400</v>
      </c>
      <c r="AL1557">
        <v>0</v>
      </c>
      <c r="AM1557">
        <v>0</v>
      </c>
      <c r="AN1557">
        <v>0</v>
      </c>
      <c r="AO1557">
        <v>0</v>
      </c>
      <c r="AP1557">
        <v>280</v>
      </c>
      <c r="AT1557" t="str">
        <f t="shared" si="280"/>
        <v>9791137602113</v>
      </c>
      <c r="AV1557" t="str">
        <f t="shared" si="283"/>
        <v>판타지 웹소설 &gt; 현대 판타지</v>
      </c>
    </row>
    <row r="1558" spans="1:48" x14ac:dyDescent="0.4">
      <c r="A1558">
        <v>2313011955</v>
      </c>
      <c r="B1558">
        <v>2313012360</v>
      </c>
      <c r="C1558" t="str">
        <f>T("갓 오브 블랙필드 406화")</f>
        <v>갓 오브 블랙필드 406화</v>
      </c>
      <c r="D1558" t="str">
        <f>T("406")</f>
        <v>406</v>
      </c>
      <c r="E1558" t="str">
        <f t="shared" si="282"/>
        <v>무장</v>
      </c>
      <c r="H1558" t="str">
        <f t="shared" si="281"/>
        <v>스토리위즈</v>
      </c>
      <c r="I1558" t="str">
        <f t="shared" si="279"/>
        <v>갓 오브 블랙필드</v>
      </c>
      <c r="J1558">
        <v>100</v>
      </c>
      <c r="K1558">
        <v>400</v>
      </c>
      <c r="L1558">
        <v>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400</v>
      </c>
      <c r="AH1558">
        <v>4</v>
      </c>
      <c r="AI1558">
        <v>0</v>
      </c>
      <c r="AJ1558">
        <v>0</v>
      </c>
      <c r="AK1558">
        <v>400</v>
      </c>
      <c r="AL1558">
        <v>0</v>
      </c>
      <c r="AM1558">
        <v>0</v>
      </c>
      <c r="AN1558">
        <v>0</v>
      </c>
      <c r="AO1558">
        <v>0</v>
      </c>
      <c r="AP1558">
        <v>280</v>
      </c>
      <c r="AT1558" t="str">
        <f t="shared" si="280"/>
        <v>9791137602113</v>
      </c>
      <c r="AV1558" t="str">
        <f t="shared" si="283"/>
        <v>판타지 웹소설 &gt; 현대 판타지</v>
      </c>
    </row>
    <row r="1559" spans="1:48" x14ac:dyDescent="0.4">
      <c r="A1559">
        <v>2313011955</v>
      </c>
      <c r="B1559">
        <v>2313012361</v>
      </c>
      <c r="C1559" t="str">
        <f>T("갓 오브 블랙필드 407화")</f>
        <v>갓 오브 블랙필드 407화</v>
      </c>
      <c r="D1559" t="str">
        <f>T("407")</f>
        <v>407</v>
      </c>
      <c r="E1559" t="str">
        <f t="shared" si="282"/>
        <v>무장</v>
      </c>
      <c r="H1559" t="str">
        <f t="shared" si="281"/>
        <v>스토리위즈</v>
      </c>
      <c r="I1559" t="str">
        <f t="shared" si="279"/>
        <v>갓 오브 블랙필드</v>
      </c>
      <c r="J1559">
        <v>100</v>
      </c>
      <c r="K1559">
        <v>400</v>
      </c>
      <c r="L1559">
        <v>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400</v>
      </c>
      <c r="AH1559">
        <v>4</v>
      </c>
      <c r="AI1559">
        <v>0</v>
      </c>
      <c r="AJ1559">
        <v>0</v>
      </c>
      <c r="AK1559">
        <v>400</v>
      </c>
      <c r="AL1559">
        <v>0</v>
      </c>
      <c r="AM1559">
        <v>0</v>
      </c>
      <c r="AN1559">
        <v>0</v>
      </c>
      <c r="AO1559">
        <v>0</v>
      </c>
      <c r="AP1559">
        <v>280</v>
      </c>
      <c r="AT1559" t="str">
        <f t="shared" si="280"/>
        <v>9791137602113</v>
      </c>
      <c r="AV1559" t="str">
        <f t="shared" si="283"/>
        <v>판타지 웹소설 &gt; 현대 판타지</v>
      </c>
    </row>
    <row r="1560" spans="1:48" x14ac:dyDescent="0.4">
      <c r="A1560">
        <v>2313011955</v>
      </c>
      <c r="B1560">
        <v>2313012362</v>
      </c>
      <c r="C1560" t="str">
        <f>T("갓 오브 블랙필드 408화")</f>
        <v>갓 오브 블랙필드 408화</v>
      </c>
      <c r="D1560" t="str">
        <f>T("408")</f>
        <v>408</v>
      </c>
      <c r="E1560" t="str">
        <f t="shared" si="282"/>
        <v>무장</v>
      </c>
      <c r="H1560" t="str">
        <f t="shared" si="281"/>
        <v>스토리위즈</v>
      </c>
      <c r="I1560" t="str">
        <f t="shared" si="279"/>
        <v>갓 오브 블랙필드</v>
      </c>
      <c r="J1560">
        <v>100</v>
      </c>
      <c r="K1560">
        <v>400</v>
      </c>
      <c r="L1560">
        <v>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400</v>
      </c>
      <c r="AH1560">
        <v>4</v>
      </c>
      <c r="AI1560">
        <v>0</v>
      </c>
      <c r="AJ1560">
        <v>0</v>
      </c>
      <c r="AK1560">
        <v>400</v>
      </c>
      <c r="AL1560">
        <v>0</v>
      </c>
      <c r="AM1560">
        <v>0</v>
      </c>
      <c r="AN1560">
        <v>0</v>
      </c>
      <c r="AO1560">
        <v>0</v>
      </c>
      <c r="AP1560">
        <v>280</v>
      </c>
      <c r="AT1560" t="str">
        <f t="shared" si="280"/>
        <v>9791137602113</v>
      </c>
      <c r="AV1560" t="str">
        <f t="shared" si="283"/>
        <v>판타지 웹소설 &gt; 현대 판타지</v>
      </c>
    </row>
    <row r="1561" spans="1:48" x14ac:dyDescent="0.4">
      <c r="A1561">
        <v>2313011955</v>
      </c>
      <c r="B1561">
        <v>2313012363</v>
      </c>
      <c r="C1561" t="str">
        <f>T("갓 오브 블랙필드 409화")</f>
        <v>갓 오브 블랙필드 409화</v>
      </c>
      <c r="D1561" t="str">
        <f>T("409")</f>
        <v>409</v>
      </c>
      <c r="E1561" t="str">
        <f t="shared" si="282"/>
        <v>무장</v>
      </c>
      <c r="H1561" t="str">
        <f t="shared" si="281"/>
        <v>스토리위즈</v>
      </c>
      <c r="I1561" t="str">
        <f t="shared" si="279"/>
        <v>갓 오브 블랙필드</v>
      </c>
      <c r="J1561">
        <v>100</v>
      </c>
      <c r="K1561">
        <v>400</v>
      </c>
      <c r="L1561">
        <v>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400</v>
      </c>
      <c r="AH1561">
        <v>4</v>
      </c>
      <c r="AI1561">
        <v>0</v>
      </c>
      <c r="AJ1561">
        <v>0</v>
      </c>
      <c r="AK1561">
        <v>400</v>
      </c>
      <c r="AL1561">
        <v>0</v>
      </c>
      <c r="AM1561">
        <v>0</v>
      </c>
      <c r="AN1561">
        <v>0</v>
      </c>
      <c r="AO1561">
        <v>0</v>
      </c>
      <c r="AP1561">
        <v>280</v>
      </c>
      <c r="AT1561" t="str">
        <f t="shared" si="280"/>
        <v>9791137602113</v>
      </c>
      <c r="AV1561" t="str">
        <f t="shared" si="283"/>
        <v>판타지 웹소설 &gt; 현대 판타지</v>
      </c>
    </row>
    <row r="1562" spans="1:48" x14ac:dyDescent="0.4">
      <c r="A1562">
        <v>2313011955</v>
      </c>
      <c r="B1562">
        <v>2313012364</v>
      </c>
      <c r="C1562" t="str">
        <f>T("갓 오브 블랙필드 410화")</f>
        <v>갓 오브 블랙필드 410화</v>
      </c>
      <c r="D1562" t="str">
        <f>T("410")</f>
        <v>410</v>
      </c>
      <c r="E1562" t="str">
        <f t="shared" si="282"/>
        <v>무장</v>
      </c>
      <c r="H1562" t="str">
        <f t="shared" si="281"/>
        <v>스토리위즈</v>
      </c>
      <c r="I1562" t="str">
        <f t="shared" si="279"/>
        <v>갓 오브 블랙필드</v>
      </c>
      <c r="J1562">
        <v>100</v>
      </c>
      <c r="K1562">
        <v>400</v>
      </c>
      <c r="L1562">
        <v>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400</v>
      </c>
      <c r="AH1562">
        <v>4</v>
      </c>
      <c r="AI1562">
        <v>0</v>
      </c>
      <c r="AJ1562">
        <v>0</v>
      </c>
      <c r="AK1562">
        <v>400</v>
      </c>
      <c r="AL1562">
        <v>0</v>
      </c>
      <c r="AM1562">
        <v>0</v>
      </c>
      <c r="AN1562">
        <v>0</v>
      </c>
      <c r="AO1562">
        <v>0</v>
      </c>
      <c r="AP1562">
        <v>280</v>
      </c>
      <c r="AT1562" t="str">
        <f t="shared" si="280"/>
        <v>9791137602113</v>
      </c>
      <c r="AV1562" t="str">
        <f t="shared" si="283"/>
        <v>판타지 웹소설 &gt; 현대 판타지</v>
      </c>
    </row>
    <row r="1563" spans="1:48" x14ac:dyDescent="0.4">
      <c r="A1563">
        <v>2313011955</v>
      </c>
      <c r="B1563">
        <v>2313012365</v>
      </c>
      <c r="C1563" t="str">
        <f>T("갓 오브 블랙필드 411화")</f>
        <v>갓 오브 블랙필드 411화</v>
      </c>
      <c r="D1563" t="str">
        <f>T("411")</f>
        <v>411</v>
      </c>
      <c r="E1563" t="str">
        <f t="shared" si="282"/>
        <v>무장</v>
      </c>
      <c r="H1563" t="str">
        <f t="shared" si="281"/>
        <v>스토리위즈</v>
      </c>
      <c r="I1563" t="str">
        <f t="shared" si="279"/>
        <v>갓 오브 블랙필드</v>
      </c>
      <c r="J1563">
        <v>100</v>
      </c>
      <c r="K1563">
        <v>400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400</v>
      </c>
      <c r="AH1563">
        <v>4</v>
      </c>
      <c r="AI1563">
        <v>0</v>
      </c>
      <c r="AJ1563">
        <v>0</v>
      </c>
      <c r="AK1563">
        <v>400</v>
      </c>
      <c r="AL1563">
        <v>0</v>
      </c>
      <c r="AM1563">
        <v>0</v>
      </c>
      <c r="AN1563">
        <v>0</v>
      </c>
      <c r="AO1563">
        <v>0</v>
      </c>
      <c r="AP1563">
        <v>280</v>
      </c>
      <c r="AT1563" t="str">
        <f t="shared" si="280"/>
        <v>9791137602113</v>
      </c>
      <c r="AV1563" t="str">
        <f t="shared" si="283"/>
        <v>판타지 웹소설 &gt; 현대 판타지</v>
      </c>
    </row>
    <row r="1564" spans="1:48" x14ac:dyDescent="0.4">
      <c r="A1564">
        <v>2313011955</v>
      </c>
      <c r="B1564">
        <v>2313012366</v>
      </c>
      <c r="C1564" t="str">
        <f>T("갓 오브 블랙필드 412화")</f>
        <v>갓 오브 블랙필드 412화</v>
      </c>
      <c r="D1564" t="str">
        <f>T("412")</f>
        <v>412</v>
      </c>
      <c r="E1564" t="str">
        <f t="shared" si="282"/>
        <v>무장</v>
      </c>
      <c r="H1564" t="str">
        <f t="shared" si="281"/>
        <v>스토리위즈</v>
      </c>
      <c r="I1564" t="str">
        <f t="shared" si="279"/>
        <v>갓 오브 블랙필드</v>
      </c>
      <c r="J1564">
        <v>100</v>
      </c>
      <c r="K1564">
        <v>400</v>
      </c>
      <c r="L1564">
        <v>4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400</v>
      </c>
      <c r="AH1564">
        <v>4</v>
      </c>
      <c r="AI1564">
        <v>0</v>
      </c>
      <c r="AJ1564">
        <v>0</v>
      </c>
      <c r="AK1564">
        <v>400</v>
      </c>
      <c r="AL1564">
        <v>0</v>
      </c>
      <c r="AM1564">
        <v>0</v>
      </c>
      <c r="AN1564">
        <v>0</v>
      </c>
      <c r="AO1564">
        <v>0</v>
      </c>
      <c r="AP1564">
        <v>280</v>
      </c>
      <c r="AT1564" t="str">
        <f t="shared" si="280"/>
        <v>9791137602113</v>
      </c>
      <c r="AV1564" t="str">
        <f t="shared" si="283"/>
        <v>판타지 웹소설 &gt; 현대 판타지</v>
      </c>
    </row>
    <row r="1565" spans="1:48" x14ac:dyDescent="0.4">
      <c r="A1565">
        <v>2313011955</v>
      </c>
      <c r="B1565">
        <v>2313012367</v>
      </c>
      <c r="C1565" t="str">
        <f>T("갓 오브 블랙필드 413화")</f>
        <v>갓 오브 블랙필드 413화</v>
      </c>
      <c r="D1565" t="str">
        <f>T("413")</f>
        <v>413</v>
      </c>
      <c r="E1565" t="str">
        <f t="shared" si="282"/>
        <v>무장</v>
      </c>
      <c r="H1565" t="str">
        <f t="shared" si="281"/>
        <v>스토리위즈</v>
      </c>
      <c r="I1565" t="str">
        <f t="shared" si="279"/>
        <v>갓 오브 블랙필드</v>
      </c>
      <c r="J1565">
        <v>100</v>
      </c>
      <c r="K1565">
        <v>400</v>
      </c>
      <c r="L1565">
        <v>4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400</v>
      </c>
      <c r="AH1565">
        <v>4</v>
      </c>
      <c r="AI1565">
        <v>0</v>
      </c>
      <c r="AJ1565">
        <v>0</v>
      </c>
      <c r="AK1565">
        <v>400</v>
      </c>
      <c r="AL1565">
        <v>0</v>
      </c>
      <c r="AM1565">
        <v>0</v>
      </c>
      <c r="AN1565">
        <v>0</v>
      </c>
      <c r="AO1565">
        <v>0</v>
      </c>
      <c r="AP1565">
        <v>280</v>
      </c>
      <c r="AT1565" t="str">
        <f t="shared" si="280"/>
        <v>9791137602113</v>
      </c>
      <c r="AV1565" t="str">
        <f t="shared" si="283"/>
        <v>판타지 웹소설 &gt; 현대 판타지</v>
      </c>
    </row>
    <row r="1566" spans="1:48" x14ac:dyDescent="0.4">
      <c r="A1566">
        <v>2313011955</v>
      </c>
      <c r="B1566">
        <v>2313012368</v>
      </c>
      <c r="C1566" t="str">
        <f>T("갓 오브 블랙필드 414화")</f>
        <v>갓 오브 블랙필드 414화</v>
      </c>
      <c r="D1566" t="str">
        <f>T("414")</f>
        <v>414</v>
      </c>
      <c r="E1566" t="str">
        <f t="shared" si="282"/>
        <v>무장</v>
      </c>
      <c r="H1566" t="str">
        <f t="shared" si="281"/>
        <v>스토리위즈</v>
      </c>
      <c r="I1566" t="str">
        <f t="shared" si="279"/>
        <v>갓 오브 블랙필드</v>
      </c>
      <c r="J1566">
        <v>100</v>
      </c>
      <c r="K1566">
        <v>400</v>
      </c>
      <c r="L1566">
        <v>4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400</v>
      </c>
      <c r="AH1566">
        <v>4</v>
      </c>
      <c r="AI1566">
        <v>0</v>
      </c>
      <c r="AJ1566">
        <v>0</v>
      </c>
      <c r="AK1566">
        <v>400</v>
      </c>
      <c r="AL1566">
        <v>0</v>
      </c>
      <c r="AM1566">
        <v>0</v>
      </c>
      <c r="AN1566">
        <v>0</v>
      </c>
      <c r="AO1566">
        <v>0</v>
      </c>
      <c r="AP1566">
        <v>280</v>
      </c>
      <c r="AT1566" t="str">
        <f t="shared" si="280"/>
        <v>9791137602113</v>
      </c>
      <c r="AV1566" t="str">
        <f t="shared" si="283"/>
        <v>판타지 웹소설 &gt; 현대 판타지</v>
      </c>
    </row>
    <row r="1567" spans="1:48" x14ac:dyDescent="0.4">
      <c r="A1567">
        <v>2313011955</v>
      </c>
      <c r="B1567">
        <v>2313012369</v>
      </c>
      <c r="C1567" t="str">
        <f>T("갓 오브 블랙필드 415화")</f>
        <v>갓 오브 블랙필드 415화</v>
      </c>
      <c r="D1567" t="str">
        <f>T("415")</f>
        <v>415</v>
      </c>
      <c r="E1567" t="str">
        <f t="shared" si="282"/>
        <v>무장</v>
      </c>
      <c r="H1567" t="str">
        <f t="shared" si="281"/>
        <v>스토리위즈</v>
      </c>
      <c r="I1567" t="str">
        <f t="shared" si="279"/>
        <v>갓 오브 블랙필드</v>
      </c>
      <c r="J1567">
        <v>100</v>
      </c>
      <c r="K1567">
        <v>400</v>
      </c>
      <c r="L1567">
        <v>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400</v>
      </c>
      <c r="AH1567">
        <v>4</v>
      </c>
      <c r="AI1567">
        <v>0</v>
      </c>
      <c r="AJ1567">
        <v>0</v>
      </c>
      <c r="AK1567">
        <v>400</v>
      </c>
      <c r="AL1567">
        <v>0</v>
      </c>
      <c r="AM1567">
        <v>0</v>
      </c>
      <c r="AN1567">
        <v>0</v>
      </c>
      <c r="AO1567">
        <v>0</v>
      </c>
      <c r="AP1567">
        <v>280</v>
      </c>
      <c r="AT1567" t="str">
        <f t="shared" si="280"/>
        <v>9791137602113</v>
      </c>
      <c r="AV1567" t="str">
        <f t="shared" si="283"/>
        <v>판타지 웹소설 &gt; 현대 판타지</v>
      </c>
    </row>
    <row r="1568" spans="1:48" x14ac:dyDescent="0.4">
      <c r="A1568">
        <v>2313011955</v>
      </c>
      <c r="B1568">
        <v>2313012370</v>
      </c>
      <c r="C1568" t="str">
        <f>T("갓 오브 블랙필드 416화")</f>
        <v>갓 오브 블랙필드 416화</v>
      </c>
      <c r="D1568" t="str">
        <f>T("416")</f>
        <v>416</v>
      </c>
      <c r="E1568" t="str">
        <f t="shared" si="282"/>
        <v>무장</v>
      </c>
      <c r="H1568" t="str">
        <f t="shared" si="281"/>
        <v>스토리위즈</v>
      </c>
      <c r="I1568" t="str">
        <f t="shared" si="279"/>
        <v>갓 오브 블랙필드</v>
      </c>
      <c r="J1568">
        <v>100</v>
      </c>
      <c r="K1568">
        <v>400</v>
      </c>
      <c r="L1568">
        <v>4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400</v>
      </c>
      <c r="AH1568">
        <v>4</v>
      </c>
      <c r="AI1568">
        <v>0</v>
      </c>
      <c r="AJ1568">
        <v>0</v>
      </c>
      <c r="AK1568">
        <v>400</v>
      </c>
      <c r="AL1568">
        <v>0</v>
      </c>
      <c r="AM1568">
        <v>0</v>
      </c>
      <c r="AN1568">
        <v>0</v>
      </c>
      <c r="AO1568">
        <v>0</v>
      </c>
      <c r="AP1568">
        <v>280</v>
      </c>
      <c r="AT1568" t="str">
        <f t="shared" si="280"/>
        <v>9791137602113</v>
      </c>
      <c r="AV1568" t="str">
        <f t="shared" si="283"/>
        <v>판타지 웹소설 &gt; 현대 판타지</v>
      </c>
    </row>
    <row r="1569" spans="1:48" x14ac:dyDescent="0.4">
      <c r="A1569">
        <v>2313011955</v>
      </c>
      <c r="B1569">
        <v>2313012371</v>
      </c>
      <c r="C1569" t="str">
        <f>T("갓 오브 블랙필드 417화")</f>
        <v>갓 오브 블랙필드 417화</v>
      </c>
      <c r="D1569" t="str">
        <f>T("417")</f>
        <v>417</v>
      </c>
      <c r="E1569" t="str">
        <f t="shared" si="282"/>
        <v>무장</v>
      </c>
      <c r="H1569" t="str">
        <f t="shared" si="281"/>
        <v>스토리위즈</v>
      </c>
      <c r="I1569" t="str">
        <f t="shared" si="279"/>
        <v>갓 오브 블랙필드</v>
      </c>
      <c r="J1569">
        <v>100</v>
      </c>
      <c r="K1569">
        <v>400</v>
      </c>
      <c r="L1569">
        <v>4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400</v>
      </c>
      <c r="AH1569">
        <v>4</v>
      </c>
      <c r="AI1569">
        <v>0</v>
      </c>
      <c r="AJ1569">
        <v>0</v>
      </c>
      <c r="AK1569">
        <v>400</v>
      </c>
      <c r="AL1569">
        <v>0</v>
      </c>
      <c r="AM1569">
        <v>0</v>
      </c>
      <c r="AN1569">
        <v>0</v>
      </c>
      <c r="AO1569">
        <v>0</v>
      </c>
      <c r="AP1569">
        <v>280</v>
      </c>
      <c r="AT1569" t="str">
        <f t="shared" si="280"/>
        <v>9791137602113</v>
      </c>
      <c r="AV1569" t="str">
        <f t="shared" si="283"/>
        <v>판타지 웹소설 &gt; 현대 판타지</v>
      </c>
    </row>
    <row r="1570" spans="1:48" x14ac:dyDescent="0.4">
      <c r="A1570">
        <v>2313011955</v>
      </c>
      <c r="B1570">
        <v>2313012372</v>
      </c>
      <c r="C1570" t="str">
        <f>T("갓 오브 블랙필드 418화")</f>
        <v>갓 오브 블랙필드 418화</v>
      </c>
      <c r="D1570" t="str">
        <f>T("418")</f>
        <v>418</v>
      </c>
      <c r="E1570" t="str">
        <f t="shared" si="282"/>
        <v>무장</v>
      </c>
      <c r="H1570" t="str">
        <f t="shared" si="281"/>
        <v>스토리위즈</v>
      </c>
      <c r="I1570" t="str">
        <f t="shared" si="279"/>
        <v>갓 오브 블랙필드</v>
      </c>
      <c r="J1570">
        <v>100</v>
      </c>
      <c r="K1570">
        <v>400</v>
      </c>
      <c r="L1570">
        <v>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400</v>
      </c>
      <c r="AH1570">
        <v>4</v>
      </c>
      <c r="AI1570">
        <v>0</v>
      </c>
      <c r="AJ1570">
        <v>0</v>
      </c>
      <c r="AK1570">
        <v>400</v>
      </c>
      <c r="AL1570">
        <v>0</v>
      </c>
      <c r="AM1570">
        <v>0</v>
      </c>
      <c r="AN1570">
        <v>0</v>
      </c>
      <c r="AO1570">
        <v>0</v>
      </c>
      <c r="AP1570">
        <v>280</v>
      </c>
      <c r="AT1570" t="str">
        <f t="shared" si="280"/>
        <v>9791137602113</v>
      </c>
      <c r="AV1570" t="str">
        <f t="shared" si="283"/>
        <v>판타지 웹소설 &gt; 현대 판타지</v>
      </c>
    </row>
    <row r="1571" spans="1:48" x14ac:dyDescent="0.4">
      <c r="A1571">
        <v>2313011955</v>
      </c>
      <c r="B1571">
        <v>2313012373</v>
      </c>
      <c r="C1571" t="str">
        <f>T("갓 오브 블랙필드 419화 (1부 완결)")</f>
        <v>갓 오브 블랙필드 419화 (1부 완결)</v>
      </c>
      <c r="D1571" t="str">
        <f>T("419")</f>
        <v>419</v>
      </c>
      <c r="E1571" t="str">
        <f t="shared" si="282"/>
        <v>무장</v>
      </c>
      <c r="H1571" t="str">
        <f t="shared" si="281"/>
        <v>스토리위즈</v>
      </c>
      <c r="I1571" t="str">
        <f t="shared" si="279"/>
        <v>갓 오브 블랙필드</v>
      </c>
      <c r="J1571">
        <v>100</v>
      </c>
      <c r="K1571">
        <v>400</v>
      </c>
      <c r="L1571">
        <v>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400</v>
      </c>
      <c r="AH1571">
        <v>4</v>
      </c>
      <c r="AI1571">
        <v>0</v>
      </c>
      <c r="AJ1571">
        <v>0</v>
      </c>
      <c r="AK1571">
        <v>400</v>
      </c>
      <c r="AL1571">
        <v>0</v>
      </c>
      <c r="AM1571">
        <v>0</v>
      </c>
      <c r="AN1571">
        <v>0</v>
      </c>
      <c r="AO1571">
        <v>0</v>
      </c>
      <c r="AP1571">
        <v>280</v>
      </c>
      <c r="AT1571" t="str">
        <f t="shared" si="280"/>
        <v>9791137602113</v>
      </c>
      <c r="AV1571" t="str">
        <f t="shared" si="283"/>
        <v>판타지 웹소설 &gt; 현대 판타지</v>
      </c>
    </row>
    <row r="1572" spans="1:48" x14ac:dyDescent="0.4">
      <c r="A1572">
        <v>2313011955</v>
      </c>
      <c r="B1572">
        <v>2313012637</v>
      </c>
      <c r="C1572" t="str">
        <f>T("갓 오브 블랙필드 421화 (외전 2)")</f>
        <v>갓 오브 블랙필드 421화 (외전 2)</v>
      </c>
      <c r="D1572" t="str">
        <f>T("421")</f>
        <v>421</v>
      </c>
      <c r="E1572" t="str">
        <f t="shared" si="282"/>
        <v>무장</v>
      </c>
      <c r="H1572" t="str">
        <f t="shared" si="281"/>
        <v>스토리위즈</v>
      </c>
      <c r="I1572" t="str">
        <f t="shared" ref="I1572:I1635" si="284">T("갓 오브 블랙필드")</f>
        <v>갓 오브 블랙필드</v>
      </c>
      <c r="J1572">
        <v>100</v>
      </c>
      <c r="K1572">
        <v>400</v>
      </c>
      <c r="L1572">
        <v>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400</v>
      </c>
      <c r="AH1572">
        <v>4</v>
      </c>
      <c r="AI1572">
        <v>0</v>
      </c>
      <c r="AJ1572">
        <v>0</v>
      </c>
      <c r="AK1572">
        <v>400</v>
      </c>
      <c r="AL1572">
        <v>0</v>
      </c>
      <c r="AM1572">
        <v>0</v>
      </c>
      <c r="AN1572">
        <v>0</v>
      </c>
      <c r="AO1572">
        <v>0</v>
      </c>
      <c r="AP1572">
        <v>280</v>
      </c>
      <c r="AR1572" t="str">
        <f t="shared" ref="AR1572:AR1630" si="285">T("9788928067343")</f>
        <v>9788928067343</v>
      </c>
      <c r="AT1572" t="str">
        <f t="shared" ref="AT1572:AT1635" si="286">T("9791137602113")</f>
        <v>9791137602113</v>
      </c>
      <c r="AV1572" t="str">
        <f t="shared" si="283"/>
        <v>판타지 웹소설 &gt; 현대 판타지</v>
      </c>
    </row>
    <row r="1573" spans="1:48" x14ac:dyDescent="0.4">
      <c r="A1573">
        <v>2313011955</v>
      </c>
      <c r="B1573">
        <v>2313012638</v>
      </c>
      <c r="C1573" t="str">
        <f>T("갓 오브 블랙필드 422화 (외전 3)")</f>
        <v>갓 오브 블랙필드 422화 (외전 3)</v>
      </c>
      <c r="D1573" t="str">
        <f>T("422")</f>
        <v>422</v>
      </c>
      <c r="E1573" t="str">
        <f t="shared" si="282"/>
        <v>무장</v>
      </c>
      <c r="H1573" t="str">
        <f t="shared" si="281"/>
        <v>스토리위즈</v>
      </c>
      <c r="I1573" t="str">
        <f t="shared" si="284"/>
        <v>갓 오브 블랙필드</v>
      </c>
      <c r="J1573">
        <v>100</v>
      </c>
      <c r="K1573">
        <v>400</v>
      </c>
      <c r="L1573">
        <v>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400</v>
      </c>
      <c r="AH1573">
        <v>4</v>
      </c>
      <c r="AI1573">
        <v>0</v>
      </c>
      <c r="AJ1573">
        <v>0</v>
      </c>
      <c r="AK1573">
        <v>400</v>
      </c>
      <c r="AL1573">
        <v>0</v>
      </c>
      <c r="AM1573">
        <v>0</v>
      </c>
      <c r="AN1573">
        <v>0</v>
      </c>
      <c r="AO1573">
        <v>0</v>
      </c>
      <c r="AP1573">
        <v>280</v>
      </c>
      <c r="AR1573" t="str">
        <f t="shared" si="285"/>
        <v>9788928067343</v>
      </c>
      <c r="AT1573" t="str">
        <f t="shared" si="286"/>
        <v>9791137602113</v>
      </c>
      <c r="AV1573" t="str">
        <f t="shared" si="283"/>
        <v>판타지 웹소설 &gt; 현대 판타지</v>
      </c>
    </row>
    <row r="1574" spans="1:48" x14ac:dyDescent="0.4">
      <c r="A1574">
        <v>2313011955</v>
      </c>
      <c r="B1574">
        <v>2313012639</v>
      </c>
      <c r="C1574" t="str">
        <f>T("갓 오브 블랙필드 423화 (외전 4)")</f>
        <v>갓 오브 블랙필드 423화 (외전 4)</v>
      </c>
      <c r="D1574" t="str">
        <f>T("423")</f>
        <v>423</v>
      </c>
      <c r="E1574" t="str">
        <f t="shared" si="282"/>
        <v>무장</v>
      </c>
      <c r="H1574" t="str">
        <f t="shared" si="281"/>
        <v>스토리위즈</v>
      </c>
      <c r="I1574" t="str">
        <f t="shared" si="284"/>
        <v>갓 오브 블랙필드</v>
      </c>
      <c r="J1574">
        <v>100</v>
      </c>
      <c r="K1574">
        <v>400</v>
      </c>
      <c r="L1574">
        <v>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400</v>
      </c>
      <c r="AH1574">
        <v>4</v>
      </c>
      <c r="AI1574">
        <v>0</v>
      </c>
      <c r="AJ1574">
        <v>0</v>
      </c>
      <c r="AK1574">
        <v>400</v>
      </c>
      <c r="AL1574">
        <v>0</v>
      </c>
      <c r="AM1574">
        <v>0</v>
      </c>
      <c r="AN1574">
        <v>0</v>
      </c>
      <c r="AO1574">
        <v>0</v>
      </c>
      <c r="AP1574">
        <v>280</v>
      </c>
      <c r="AR1574" t="str">
        <f t="shared" si="285"/>
        <v>9788928067343</v>
      </c>
      <c r="AT1574" t="str">
        <f t="shared" si="286"/>
        <v>9791137602113</v>
      </c>
      <c r="AV1574" t="str">
        <f t="shared" si="283"/>
        <v>판타지 웹소설 &gt; 현대 판타지</v>
      </c>
    </row>
    <row r="1575" spans="1:48" x14ac:dyDescent="0.4">
      <c r="A1575">
        <v>2313011955</v>
      </c>
      <c r="B1575">
        <v>2313012640</v>
      </c>
      <c r="C1575" t="str">
        <f>T("갓 오브 블랙필드 424화 (외전 5)")</f>
        <v>갓 오브 블랙필드 424화 (외전 5)</v>
      </c>
      <c r="D1575" t="str">
        <f>T("424")</f>
        <v>424</v>
      </c>
      <c r="E1575" t="str">
        <f t="shared" si="282"/>
        <v>무장</v>
      </c>
      <c r="H1575" t="str">
        <f t="shared" si="281"/>
        <v>스토리위즈</v>
      </c>
      <c r="I1575" t="str">
        <f t="shared" si="284"/>
        <v>갓 오브 블랙필드</v>
      </c>
      <c r="J1575">
        <v>100</v>
      </c>
      <c r="K1575">
        <v>400</v>
      </c>
      <c r="L1575">
        <v>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400</v>
      </c>
      <c r="AH1575">
        <v>4</v>
      </c>
      <c r="AI1575">
        <v>0</v>
      </c>
      <c r="AJ1575">
        <v>0</v>
      </c>
      <c r="AK1575">
        <v>400</v>
      </c>
      <c r="AL1575">
        <v>0</v>
      </c>
      <c r="AM1575">
        <v>0</v>
      </c>
      <c r="AN1575">
        <v>0</v>
      </c>
      <c r="AO1575">
        <v>0</v>
      </c>
      <c r="AP1575">
        <v>280</v>
      </c>
      <c r="AR1575" t="str">
        <f t="shared" si="285"/>
        <v>9788928067343</v>
      </c>
      <c r="AT1575" t="str">
        <f t="shared" si="286"/>
        <v>9791137602113</v>
      </c>
      <c r="AV1575" t="str">
        <f t="shared" si="283"/>
        <v>판타지 웹소설 &gt; 현대 판타지</v>
      </c>
    </row>
    <row r="1576" spans="1:48" x14ac:dyDescent="0.4">
      <c r="A1576">
        <v>2313011955</v>
      </c>
      <c r="B1576">
        <v>2313012641</v>
      </c>
      <c r="C1576" t="str">
        <f>T("갓 오브 블랙필드 425화 (외전 6)")</f>
        <v>갓 오브 블랙필드 425화 (외전 6)</v>
      </c>
      <c r="D1576" t="str">
        <f>T("425")</f>
        <v>425</v>
      </c>
      <c r="E1576" t="str">
        <f t="shared" si="282"/>
        <v>무장</v>
      </c>
      <c r="H1576" t="str">
        <f t="shared" si="281"/>
        <v>스토리위즈</v>
      </c>
      <c r="I1576" t="str">
        <f t="shared" si="284"/>
        <v>갓 오브 블랙필드</v>
      </c>
      <c r="J1576">
        <v>100</v>
      </c>
      <c r="K1576">
        <v>400</v>
      </c>
      <c r="L1576">
        <v>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400</v>
      </c>
      <c r="AH1576">
        <v>4</v>
      </c>
      <c r="AI1576">
        <v>0</v>
      </c>
      <c r="AJ1576">
        <v>0</v>
      </c>
      <c r="AK1576">
        <v>400</v>
      </c>
      <c r="AL1576">
        <v>0</v>
      </c>
      <c r="AM1576">
        <v>0</v>
      </c>
      <c r="AN1576">
        <v>0</v>
      </c>
      <c r="AO1576">
        <v>0</v>
      </c>
      <c r="AP1576">
        <v>280</v>
      </c>
      <c r="AR1576" t="str">
        <f t="shared" si="285"/>
        <v>9788928067343</v>
      </c>
      <c r="AT1576" t="str">
        <f t="shared" si="286"/>
        <v>9791137602113</v>
      </c>
      <c r="AV1576" t="str">
        <f t="shared" si="283"/>
        <v>판타지 웹소설 &gt; 현대 판타지</v>
      </c>
    </row>
    <row r="1577" spans="1:48" x14ac:dyDescent="0.4">
      <c r="A1577">
        <v>2313011955</v>
      </c>
      <c r="B1577">
        <v>2313012642</v>
      </c>
      <c r="C1577" t="str">
        <f>T("갓 오브 블랙필드 426화 (외전 7)")</f>
        <v>갓 오브 블랙필드 426화 (외전 7)</v>
      </c>
      <c r="D1577" t="str">
        <f>T("426")</f>
        <v>426</v>
      </c>
      <c r="E1577" t="str">
        <f t="shared" si="282"/>
        <v>무장</v>
      </c>
      <c r="H1577" t="str">
        <f t="shared" si="281"/>
        <v>스토리위즈</v>
      </c>
      <c r="I1577" t="str">
        <f t="shared" si="284"/>
        <v>갓 오브 블랙필드</v>
      </c>
      <c r="J1577">
        <v>100</v>
      </c>
      <c r="K1577">
        <v>400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400</v>
      </c>
      <c r="AH1577">
        <v>4</v>
      </c>
      <c r="AI1577">
        <v>0</v>
      </c>
      <c r="AJ1577">
        <v>0</v>
      </c>
      <c r="AK1577">
        <v>400</v>
      </c>
      <c r="AL1577">
        <v>0</v>
      </c>
      <c r="AM1577">
        <v>0</v>
      </c>
      <c r="AN1577">
        <v>0</v>
      </c>
      <c r="AO1577">
        <v>0</v>
      </c>
      <c r="AP1577">
        <v>280</v>
      </c>
      <c r="AR1577" t="str">
        <f t="shared" si="285"/>
        <v>9788928067343</v>
      </c>
      <c r="AT1577" t="str">
        <f t="shared" si="286"/>
        <v>9791137602113</v>
      </c>
      <c r="AV1577" t="str">
        <f t="shared" si="283"/>
        <v>판타지 웹소설 &gt; 현대 판타지</v>
      </c>
    </row>
    <row r="1578" spans="1:48" x14ac:dyDescent="0.4">
      <c r="A1578">
        <v>2313011955</v>
      </c>
      <c r="B1578">
        <v>2313012643</v>
      </c>
      <c r="C1578" t="str">
        <f>T("갓 오브 블랙필드 427화 (외전 8)")</f>
        <v>갓 오브 블랙필드 427화 (외전 8)</v>
      </c>
      <c r="D1578" t="str">
        <f>T("427")</f>
        <v>427</v>
      </c>
      <c r="E1578" t="str">
        <f t="shared" si="282"/>
        <v>무장</v>
      </c>
      <c r="H1578" t="str">
        <f t="shared" si="281"/>
        <v>스토리위즈</v>
      </c>
      <c r="I1578" t="str">
        <f t="shared" si="284"/>
        <v>갓 오브 블랙필드</v>
      </c>
      <c r="J1578">
        <v>100</v>
      </c>
      <c r="K1578">
        <v>400</v>
      </c>
      <c r="L1578">
        <v>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400</v>
      </c>
      <c r="AH1578">
        <v>4</v>
      </c>
      <c r="AI1578">
        <v>0</v>
      </c>
      <c r="AJ1578">
        <v>0</v>
      </c>
      <c r="AK1578">
        <v>400</v>
      </c>
      <c r="AL1578">
        <v>0</v>
      </c>
      <c r="AM1578">
        <v>0</v>
      </c>
      <c r="AN1578">
        <v>0</v>
      </c>
      <c r="AO1578">
        <v>0</v>
      </c>
      <c r="AP1578">
        <v>280</v>
      </c>
      <c r="AR1578" t="str">
        <f t="shared" si="285"/>
        <v>9788928067343</v>
      </c>
      <c r="AT1578" t="str">
        <f t="shared" si="286"/>
        <v>9791137602113</v>
      </c>
      <c r="AV1578" t="str">
        <f t="shared" si="283"/>
        <v>판타지 웹소설 &gt; 현대 판타지</v>
      </c>
    </row>
    <row r="1579" spans="1:48" x14ac:dyDescent="0.4">
      <c r="A1579">
        <v>2313011955</v>
      </c>
      <c r="B1579">
        <v>2313012644</v>
      </c>
      <c r="C1579" t="str">
        <f>T("갓 오브 블랙필드 428화 (외전 9)")</f>
        <v>갓 오브 블랙필드 428화 (외전 9)</v>
      </c>
      <c r="D1579" t="str">
        <f>T("428")</f>
        <v>428</v>
      </c>
      <c r="E1579" t="str">
        <f t="shared" si="282"/>
        <v>무장</v>
      </c>
      <c r="H1579" t="str">
        <f t="shared" si="281"/>
        <v>스토리위즈</v>
      </c>
      <c r="I1579" t="str">
        <f t="shared" si="284"/>
        <v>갓 오브 블랙필드</v>
      </c>
      <c r="J1579">
        <v>100</v>
      </c>
      <c r="K1579">
        <v>400</v>
      </c>
      <c r="L1579">
        <v>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400</v>
      </c>
      <c r="AH1579">
        <v>4</v>
      </c>
      <c r="AI1579">
        <v>0</v>
      </c>
      <c r="AJ1579">
        <v>0</v>
      </c>
      <c r="AK1579">
        <v>400</v>
      </c>
      <c r="AL1579">
        <v>0</v>
      </c>
      <c r="AM1579">
        <v>0</v>
      </c>
      <c r="AN1579">
        <v>0</v>
      </c>
      <c r="AO1579">
        <v>0</v>
      </c>
      <c r="AP1579">
        <v>280</v>
      </c>
      <c r="AR1579" t="str">
        <f t="shared" si="285"/>
        <v>9788928067343</v>
      </c>
      <c r="AT1579" t="str">
        <f t="shared" si="286"/>
        <v>9791137602113</v>
      </c>
      <c r="AV1579" t="str">
        <f t="shared" si="283"/>
        <v>판타지 웹소설 &gt; 현대 판타지</v>
      </c>
    </row>
    <row r="1580" spans="1:48" x14ac:dyDescent="0.4">
      <c r="A1580">
        <v>2313011955</v>
      </c>
      <c r="B1580">
        <v>2313012645</v>
      </c>
      <c r="C1580" t="str">
        <f>T("갓 오브 블랙필드 429화 (외전 10)")</f>
        <v>갓 오브 블랙필드 429화 (외전 10)</v>
      </c>
      <c r="D1580" t="str">
        <f>T("429")</f>
        <v>429</v>
      </c>
      <c r="E1580" t="str">
        <f t="shared" si="282"/>
        <v>무장</v>
      </c>
      <c r="H1580" t="str">
        <f t="shared" si="281"/>
        <v>스토리위즈</v>
      </c>
      <c r="I1580" t="str">
        <f t="shared" si="284"/>
        <v>갓 오브 블랙필드</v>
      </c>
      <c r="J1580">
        <v>100</v>
      </c>
      <c r="K1580">
        <v>400</v>
      </c>
      <c r="L1580">
        <v>4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400</v>
      </c>
      <c r="AH1580">
        <v>4</v>
      </c>
      <c r="AI1580">
        <v>0</v>
      </c>
      <c r="AJ1580">
        <v>0</v>
      </c>
      <c r="AK1580">
        <v>400</v>
      </c>
      <c r="AL1580">
        <v>0</v>
      </c>
      <c r="AM1580">
        <v>0</v>
      </c>
      <c r="AN1580">
        <v>0</v>
      </c>
      <c r="AO1580">
        <v>0</v>
      </c>
      <c r="AP1580">
        <v>280</v>
      </c>
      <c r="AR1580" t="str">
        <f t="shared" si="285"/>
        <v>9788928067343</v>
      </c>
      <c r="AT1580" t="str">
        <f t="shared" si="286"/>
        <v>9791137602113</v>
      </c>
      <c r="AV1580" t="str">
        <f t="shared" si="283"/>
        <v>판타지 웹소설 &gt; 현대 판타지</v>
      </c>
    </row>
    <row r="1581" spans="1:48" x14ac:dyDescent="0.4">
      <c r="A1581">
        <v>2313011955</v>
      </c>
      <c r="B1581">
        <v>2313012646</v>
      </c>
      <c r="C1581" t="str">
        <f>T("갓 오브 블랙필드 430화 (외전 11)")</f>
        <v>갓 오브 블랙필드 430화 (외전 11)</v>
      </c>
      <c r="D1581" t="str">
        <f>T("430")</f>
        <v>430</v>
      </c>
      <c r="E1581" t="str">
        <f t="shared" si="282"/>
        <v>무장</v>
      </c>
      <c r="H1581" t="str">
        <f t="shared" si="281"/>
        <v>스토리위즈</v>
      </c>
      <c r="I1581" t="str">
        <f t="shared" si="284"/>
        <v>갓 오브 블랙필드</v>
      </c>
      <c r="J1581">
        <v>100</v>
      </c>
      <c r="K1581">
        <v>400</v>
      </c>
      <c r="L1581">
        <v>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400</v>
      </c>
      <c r="AH1581">
        <v>4</v>
      </c>
      <c r="AI1581">
        <v>0</v>
      </c>
      <c r="AJ1581">
        <v>0</v>
      </c>
      <c r="AK1581">
        <v>400</v>
      </c>
      <c r="AL1581">
        <v>0</v>
      </c>
      <c r="AM1581">
        <v>0</v>
      </c>
      <c r="AN1581">
        <v>0</v>
      </c>
      <c r="AO1581">
        <v>0</v>
      </c>
      <c r="AP1581">
        <v>280</v>
      </c>
      <c r="AR1581" t="str">
        <f t="shared" si="285"/>
        <v>9788928067343</v>
      </c>
      <c r="AT1581" t="str">
        <f t="shared" si="286"/>
        <v>9791137602113</v>
      </c>
      <c r="AV1581" t="str">
        <f t="shared" si="283"/>
        <v>판타지 웹소설 &gt; 현대 판타지</v>
      </c>
    </row>
    <row r="1582" spans="1:48" x14ac:dyDescent="0.4">
      <c r="A1582">
        <v>2313011955</v>
      </c>
      <c r="B1582">
        <v>2313012647</v>
      </c>
      <c r="C1582" t="str">
        <f>T("갓 오브 블랙필드 431화 (외전 12)")</f>
        <v>갓 오브 블랙필드 431화 (외전 12)</v>
      </c>
      <c r="D1582" t="str">
        <f>T("431")</f>
        <v>431</v>
      </c>
      <c r="E1582" t="str">
        <f t="shared" si="282"/>
        <v>무장</v>
      </c>
      <c r="H1582" t="str">
        <f t="shared" si="281"/>
        <v>스토리위즈</v>
      </c>
      <c r="I1582" t="str">
        <f t="shared" si="284"/>
        <v>갓 오브 블랙필드</v>
      </c>
      <c r="J1582">
        <v>100</v>
      </c>
      <c r="K1582">
        <v>400</v>
      </c>
      <c r="L1582">
        <v>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400</v>
      </c>
      <c r="AH1582">
        <v>4</v>
      </c>
      <c r="AI1582">
        <v>0</v>
      </c>
      <c r="AJ1582">
        <v>0</v>
      </c>
      <c r="AK1582">
        <v>400</v>
      </c>
      <c r="AL1582">
        <v>0</v>
      </c>
      <c r="AM1582">
        <v>0</v>
      </c>
      <c r="AN1582">
        <v>0</v>
      </c>
      <c r="AO1582">
        <v>0</v>
      </c>
      <c r="AP1582">
        <v>280</v>
      </c>
      <c r="AR1582" t="str">
        <f t="shared" si="285"/>
        <v>9788928067343</v>
      </c>
      <c r="AT1582" t="str">
        <f t="shared" si="286"/>
        <v>9791137602113</v>
      </c>
      <c r="AV1582" t="str">
        <f t="shared" si="283"/>
        <v>판타지 웹소설 &gt; 현대 판타지</v>
      </c>
    </row>
    <row r="1583" spans="1:48" x14ac:dyDescent="0.4">
      <c r="A1583">
        <v>2313011955</v>
      </c>
      <c r="B1583">
        <v>2313012648</v>
      </c>
      <c r="C1583" t="str">
        <f>T("갓 오브 블랙필드 432화 (외전 13)")</f>
        <v>갓 오브 블랙필드 432화 (외전 13)</v>
      </c>
      <c r="D1583" t="str">
        <f>T("432")</f>
        <v>432</v>
      </c>
      <c r="E1583" t="str">
        <f t="shared" si="282"/>
        <v>무장</v>
      </c>
      <c r="H1583" t="str">
        <f t="shared" si="281"/>
        <v>스토리위즈</v>
      </c>
      <c r="I1583" t="str">
        <f t="shared" si="284"/>
        <v>갓 오브 블랙필드</v>
      </c>
      <c r="J1583">
        <v>100</v>
      </c>
      <c r="K1583">
        <v>400</v>
      </c>
      <c r="L1583">
        <v>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400</v>
      </c>
      <c r="AH1583">
        <v>4</v>
      </c>
      <c r="AI1583">
        <v>0</v>
      </c>
      <c r="AJ1583">
        <v>0</v>
      </c>
      <c r="AK1583">
        <v>400</v>
      </c>
      <c r="AL1583">
        <v>0</v>
      </c>
      <c r="AM1583">
        <v>0</v>
      </c>
      <c r="AN1583">
        <v>0</v>
      </c>
      <c r="AO1583">
        <v>0</v>
      </c>
      <c r="AP1583">
        <v>280</v>
      </c>
      <c r="AR1583" t="str">
        <f t="shared" si="285"/>
        <v>9788928067343</v>
      </c>
      <c r="AT1583" t="str">
        <f t="shared" si="286"/>
        <v>9791137602113</v>
      </c>
      <c r="AV1583" t="str">
        <f t="shared" si="283"/>
        <v>판타지 웹소설 &gt; 현대 판타지</v>
      </c>
    </row>
    <row r="1584" spans="1:48" x14ac:dyDescent="0.4">
      <c r="A1584">
        <v>2313011955</v>
      </c>
      <c r="B1584">
        <v>2313012649</v>
      </c>
      <c r="C1584" t="str">
        <f>T("갓 오브 블랙필드 433화 (외전 14)")</f>
        <v>갓 오브 블랙필드 433화 (외전 14)</v>
      </c>
      <c r="D1584" t="str">
        <f>T("433")</f>
        <v>433</v>
      </c>
      <c r="E1584" t="str">
        <f t="shared" si="282"/>
        <v>무장</v>
      </c>
      <c r="H1584" t="str">
        <f t="shared" si="281"/>
        <v>스토리위즈</v>
      </c>
      <c r="I1584" t="str">
        <f t="shared" si="284"/>
        <v>갓 오브 블랙필드</v>
      </c>
      <c r="J1584">
        <v>100</v>
      </c>
      <c r="K1584">
        <v>400</v>
      </c>
      <c r="L1584">
        <v>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400</v>
      </c>
      <c r="AH1584">
        <v>4</v>
      </c>
      <c r="AI1584">
        <v>0</v>
      </c>
      <c r="AJ1584">
        <v>0</v>
      </c>
      <c r="AK1584">
        <v>400</v>
      </c>
      <c r="AL1584">
        <v>0</v>
      </c>
      <c r="AM1584">
        <v>0</v>
      </c>
      <c r="AN1584">
        <v>0</v>
      </c>
      <c r="AO1584">
        <v>0</v>
      </c>
      <c r="AP1584">
        <v>280</v>
      </c>
      <c r="AR1584" t="str">
        <f t="shared" si="285"/>
        <v>9788928067343</v>
      </c>
      <c r="AT1584" t="str">
        <f t="shared" si="286"/>
        <v>9791137602113</v>
      </c>
      <c r="AV1584" t="str">
        <f t="shared" si="283"/>
        <v>판타지 웹소설 &gt; 현대 판타지</v>
      </c>
    </row>
    <row r="1585" spans="1:48" x14ac:dyDescent="0.4">
      <c r="A1585">
        <v>2313011955</v>
      </c>
      <c r="B1585">
        <v>2313012650</v>
      </c>
      <c r="C1585" t="str">
        <f>T("갓 오브 블랙필드 434화 (외전 15)")</f>
        <v>갓 오브 블랙필드 434화 (외전 15)</v>
      </c>
      <c r="D1585" t="str">
        <f>T("434")</f>
        <v>434</v>
      </c>
      <c r="E1585" t="str">
        <f t="shared" si="282"/>
        <v>무장</v>
      </c>
      <c r="H1585" t="str">
        <f t="shared" si="281"/>
        <v>스토리위즈</v>
      </c>
      <c r="I1585" t="str">
        <f t="shared" si="284"/>
        <v>갓 오브 블랙필드</v>
      </c>
      <c r="J1585">
        <v>100</v>
      </c>
      <c r="K1585">
        <v>400</v>
      </c>
      <c r="L1585">
        <v>4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400</v>
      </c>
      <c r="AH1585">
        <v>4</v>
      </c>
      <c r="AI1585">
        <v>0</v>
      </c>
      <c r="AJ1585">
        <v>0</v>
      </c>
      <c r="AK1585">
        <v>400</v>
      </c>
      <c r="AL1585">
        <v>0</v>
      </c>
      <c r="AM1585">
        <v>0</v>
      </c>
      <c r="AN1585">
        <v>0</v>
      </c>
      <c r="AO1585">
        <v>0</v>
      </c>
      <c r="AP1585">
        <v>280</v>
      </c>
      <c r="AR1585" t="str">
        <f t="shared" si="285"/>
        <v>9788928067343</v>
      </c>
      <c r="AT1585" t="str">
        <f t="shared" si="286"/>
        <v>9791137602113</v>
      </c>
      <c r="AV1585" t="str">
        <f t="shared" si="283"/>
        <v>판타지 웹소설 &gt; 현대 판타지</v>
      </c>
    </row>
    <row r="1586" spans="1:48" x14ac:dyDescent="0.4">
      <c r="A1586">
        <v>2313011955</v>
      </c>
      <c r="B1586">
        <v>2313012651</v>
      </c>
      <c r="C1586" t="str">
        <f>T("갓 오브 블랙필드 435화 (외전 16)")</f>
        <v>갓 오브 블랙필드 435화 (외전 16)</v>
      </c>
      <c r="D1586" t="str">
        <f>T("435")</f>
        <v>435</v>
      </c>
      <c r="E1586" t="str">
        <f t="shared" si="282"/>
        <v>무장</v>
      </c>
      <c r="H1586" t="str">
        <f t="shared" si="281"/>
        <v>스토리위즈</v>
      </c>
      <c r="I1586" t="str">
        <f t="shared" si="284"/>
        <v>갓 오브 블랙필드</v>
      </c>
      <c r="J1586">
        <v>100</v>
      </c>
      <c r="K1586">
        <v>400</v>
      </c>
      <c r="L1586">
        <v>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400</v>
      </c>
      <c r="AH1586">
        <v>4</v>
      </c>
      <c r="AI1586">
        <v>0</v>
      </c>
      <c r="AJ1586">
        <v>0</v>
      </c>
      <c r="AK1586">
        <v>400</v>
      </c>
      <c r="AL1586">
        <v>0</v>
      </c>
      <c r="AM1586">
        <v>0</v>
      </c>
      <c r="AN1586">
        <v>0</v>
      </c>
      <c r="AO1586">
        <v>0</v>
      </c>
      <c r="AP1586">
        <v>280</v>
      </c>
      <c r="AR1586" t="str">
        <f t="shared" si="285"/>
        <v>9788928067343</v>
      </c>
      <c r="AT1586" t="str">
        <f t="shared" si="286"/>
        <v>9791137602113</v>
      </c>
      <c r="AV1586" t="str">
        <f t="shared" si="283"/>
        <v>판타지 웹소설 &gt; 현대 판타지</v>
      </c>
    </row>
    <row r="1587" spans="1:48" x14ac:dyDescent="0.4">
      <c r="A1587">
        <v>2313011955</v>
      </c>
      <c r="B1587">
        <v>2313012652</v>
      </c>
      <c r="C1587" t="str">
        <f>T("갓 오브 블랙필드 436화 (외전 17)")</f>
        <v>갓 오브 블랙필드 436화 (외전 17)</v>
      </c>
      <c r="D1587" t="str">
        <f>T("436")</f>
        <v>436</v>
      </c>
      <c r="E1587" t="str">
        <f t="shared" si="282"/>
        <v>무장</v>
      </c>
      <c r="H1587" t="str">
        <f t="shared" si="281"/>
        <v>스토리위즈</v>
      </c>
      <c r="I1587" t="str">
        <f t="shared" si="284"/>
        <v>갓 오브 블랙필드</v>
      </c>
      <c r="J1587">
        <v>100</v>
      </c>
      <c r="K1587">
        <v>400</v>
      </c>
      <c r="L1587">
        <v>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400</v>
      </c>
      <c r="AH1587">
        <v>4</v>
      </c>
      <c r="AI1587">
        <v>0</v>
      </c>
      <c r="AJ1587">
        <v>0</v>
      </c>
      <c r="AK1587">
        <v>400</v>
      </c>
      <c r="AL1587">
        <v>0</v>
      </c>
      <c r="AM1587">
        <v>0</v>
      </c>
      <c r="AN1587">
        <v>0</v>
      </c>
      <c r="AO1587">
        <v>0</v>
      </c>
      <c r="AP1587">
        <v>280</v>
      </c>
      <c r="AR1587" t="str">
        <f t="shared" si="285"/>
        <v>9788928067343</v>
      </c>
      <c r="AT1587" t="str">
        <f t="shared" si="286"/>
        <v>9791137602113</v>
      </c>
      <c r="AV1587" t="str">
        <f t="shared" si="283"/>
        <v>판타지 웹소설 &gt; 현대 판타지</v>
      </c>
    </row>
    <row r="1588" spans="1:48" x14ac:dyDescent="0.4">
      <c r="A1588">
        <v>2313011955</v>
      </c>
      <c r="B1588">
        <v>2313012653</v>
      </c>
      <c r="C1588" t="str">
        <f>T("갓 오브 블랙필드 437화 (외전 18)")</f>
        <v>갓 오브 블랙필드 437화 (외전 18)</v>
      </c>
      <c r="D1588" t="str">
        <f>T("437")</f>
        <v>437</v>
      </c>
      <c r="E1588" t="str">
        <f t="shared" si="282"/>
        <v>무장</v>
      </c>
      <c r="H1588" t="str">
        <f t="shared" si="281"/>
        <v>스토리위즈</v>
      </c>
      <c r="I1588" t="str">
        <f t="shared" si="284"/>
        <v>갓 오브 블랙필드</v>
      </c>
      <c r="J1588">
        <v>100</v>
      </c>
      <c r="K1588">
        <v>400</v>
      </c>
      <c r="L1588">
        <v>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400</v>
      </c>
      <c r="AH1588">
        <v>4</v>
      </c>
      <c r="AI1588">
        <v>0</v>
      </c>
      <c r="AJ1588">
        <v>0</v>
      </c>
      <c r="AK1588">
        <v>400</v>
      </c>
      <c r="AL1588">
        <v>0</v>
      </c>
      <c r="AM1588">
        <v>0</v>
      </c>
      <c r="AN1588">
        <v>0</v>
      </c>
      <c r="AO1588">
        <v>0</v>
      </c>
      <c r="AP1588">
        <v>280</v>
      </c>
      <c r="AR1588" t="str">
        <f t="shared" si="285"/>
        <v>9788928067343</v>
      </c>
      <c r="AT1588" t="str">
        <f t="shared" si="286"/>
        <v>9791137602113</v>
      </c>
      <c r="AV1588" t="str">
        <f t="shared" si="283"/>
        <v>판타지 웹소설 &gt; 현대 판타지</v>
      </c>
    </row>
    <row r="1589" spans="1:48" x14ac:dyDescent="0.4">
      <c r="A1589">
        <v>2313011955</v>
      </c>
      <c r="B1589">
        <v>2313012654</v>
      </c>
      <c r="C1589" t="str">
        <f>T("갓 오브 블랙필드 438화 (외전 19)")</f>
        <v>갓 오브 블랙필드 438화 (외전 19)</v>
      </c>
      <c r="D1589" t="str">
        <f>T("438")</f>
        <v>438</v>
      </c>
      <c r="E1589" t="str">
        <f t="shared" si="282"/>
        <v>무장</v>
      </c>
      <c r="H1589" t="str">
        <f t="shared" ref="H1589:H1652" si="287">T("스토리위즈")</f>
        <v>스토리위즈</v>
      </c>
      <c r="I1589" t="str">
        <f t="shared" si="284"/>
        <v>갓 오브 블랙필드</v>
      </c>
      <c r="J1589">
        <v>100</v>
      </c>
      <c r="K1589">
        <v>400</v>
      </c>
      <c r="L1589">
        <v>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400</v>
      </c>
      <c r="AH1589">
        <v>4</v>
      </c>
      <c r="AI1589">
        <v>0</v>
      </c>
      <c r="AJ1589">
        <v>0</v>
      </c>
      <c r="AK1589">
        <v>400</v>
      </c>
      <c r="AL1589">
        <v>0</v>
      </c>
      <c r="AM1589">
        <v>0</v>
      </c>
      <c r="AN1589">
        <v>0</v>
      </c>
      <c r="AO1589">
        <v>0</v>
      </c>
      <c r="AP1589">
        <v>280</v>
      </c>
      <c r="AR1589" t="str">
        <f t="shared" si="285"/>
        <v>9788928067343</v>
      </c>
      <c r="AT1589" t="str">
        <f t="shared" si="286"/>
        <v>9791137602113</v>
      </c>
      <c r="AV1589" t="str">
        <f t="shared" si="283"/>
        <v>판타지 웹소설 &gt; 현대 판타지</v>
      </c>
    </row>
    <row r="1590" spans="1:48" x14ac:dyDescent="0.4">
      <c r="A1590">
        <v>2313011955</v>
      </c>
      <c r="B1590">
        <v>2313012655</v>
      </c>
      <c r="C1590" t="str">
        <f>T("갓 오브 블랙필드 439화 (외전 20)")</f>
        <v>갓 오브 블랙필드 439화 (외전 20)</v>
      </c>
      <c r="D1590" t="str">
        <f>T("439")</f>
        <v>439</v>
      </c>
      <c r="E1590" t="str">
        <f t="shared" si="282"/>
        <v>무장</v>
      </c>
      <c r="H1590" t="str">
        <f t="shared" si="287"/>
        <v>스토리위즈</v>
      </c>
      <c r="I1590" t="str">
        <f t="shared" si="284"/>
        <v>갓 오브 블랙필드</v>
      </c>
      <c r="J1590">
        <v>100</v>
      </c>
      <c r="K1590">
        <v>400</v>
      </c>
      <c r="L1590">
        <v>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400</v>
      </c>
      <c r="AH1590">
        <v>4</v>
      </c>
      <c r="AI1590">
        <v>0</v>
      </c>
      <c r="AJ1590">
        <v>0</v>
      </c>
      <c r="AK1590">
        <v>400</v>
      </c>
      <c r="AL1590">
        <v>0</v>
      </c>
      <c r="AM1590">
        <v>0</v>
      </c>
      <c r="AN1590">
        <v>0</v>
      </c>
      <c r="AO1590">
        <v>0</v>
      </c>
      <c r="AP1590">
        <v>280</v>
      </c>
      <c r="AR1590" t="str">
        <f t="shared" si="285"/>
        <v>9788928067343</v>
      </c>
      <c r="AT1590" t="str">
        <f t="shared" si="286"/>
        <v>9791137602113</v>
      </c>
      <c r="AV1590" t="str">
        <f t="shared" si="283"/>
        <v>판타지 웹소설 &gt; 현대 판타지</v>
      </c>
    </row>
    <row r="1591" spans="1:48" x14ac:dyDescent="0.4">
      <c r="A1591">
        <v>2313011955</v>
      </c>
      <c r="B1591">
        <v>2313012656</v>
      </c>
      <c r="C1591" t="str">
        <f>T("갓 오브 블랙필드 440화(외전 21)")</f>
        <v>갓 오브 블랙필드 440화(외전 21)</v>
      </c>
      <c r="D1591" t="str">
        <f>T("440")</f>
        <v>440</v>
      </c>
      <c r="E1591" t="str">
        <f t="shared" si="282"/>
        <v>무장</v>
      </c>
      <c r="H1591" t="str">
        <f t="shared" si="287"/>
        <v>스토리위즈</v>
      </c>
      <c r="I1591" t="str">
        <f t="shared" si="284"/>
        <v>갓 오브 블랙필드</v>
      </c>
      <c r="J1591">
        <v>100</v>
      </c>
      <c r="K1591">
        <v>400</v>
      </c>
      <c r="L1591">
        <v>4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400</v>
      </c>
      <c r="AH1591">
        <v>4</v>
      </c>
      <c r="AI1591">
        <v>0</v>
      </c>
      <c r="AJ1591">
        <v>0</v>
      </c>
      <c r="AK1591">
        <v>400</v>
      </c>
      <c r="AL1591">
        <v>0</v>
      </c>
      <c r="AM1591">
        <v>0</v>
      </c>
      <c r="AN1591">
        <v>0</v>
      </c>
      <c r="AO1591">
        <v>0</v>
      </c>
      <c r="AP1591">
        <v>280</v>
      </c>
      <c r="AR1591" t="str">
        <f t="shared" si="285"/>
        <v>9788928067343</v>
      </c>
      <c r="AT1591" t="str">
        <f t="shared" si="286"/>
        <v>9791137602113</v>
      </c>
      <c r="AV1591" t="str">
        <f t="shared" si="283"/>
        <v>판타지 웹소설 &gt; 현대 판타지</v>
      </c>
    </row>
    <row r="1592" spans="1:48" x14ac:dyDescent="0.4">
      <c r="A1592">
        <v>2313011955</v>
      </c>
      <c r="B1592">
        <v>2313012657</v>
      </c>
      <c r="C1592" t="str">
        <f>T("갓 오브 블랙필드 441화 (외전 22)")</f>
        <v>갓 오브 블랙필드 441화 (외전 22)</v>
      </c>
      <c r="D1592" t="str">
        <f>T("441")</f>
        <v>441</v>
      </c>
      <c r="E1592" t="str">
        <f t="shared" si="282"/>
        <v>무장</v>
      </c>
      <c r="H1592" t="str">
        <f t="shared" si="287"/>
        <v>스토리위즈</v>
      </c>
      <c r="I1592" t="str">
        <f t="shared" si="284"/>
        <v>갓 오브 블랙필드</v>
      </c>
      <c r="J1592">
        <v>100</v>
      </c>
      <c r="K1592">
        <v>400</v>
      </c>
      <c r="L1592">
        <v>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400</v>
      </c>
      <c r="AH1592">
        <v>4</v>
      </c>
      <c r="AI1592">
        <v>0</v>
      </c>
      <c r="AJ1592">
        <v>0</v>
      </c>
      <c r="AK1592">
        <v>400</v>
      </c>
      <c r="AL1592">
        <v>0</v>
      </c>
      <c r="AM1592">
        <v>0</v>
      </c>
      <c r="AN1592">
        <v>0</v>
      </c>
      <c r="AO1592">
        <v>0</v>
      </c>
      <c r="AP1592">
        <v>280</v>
      </c>
      <c r="AR1592" t="str">
        <f t="shared" si="285"/>
        <v>9788928067343</v>
      </c>
      <c r="AT1592" t="str">
        <f t="shared" si="286"/>
        <v>9791137602113</v>
      </c>
      <c r="AV1592" t="str">
        <f t="shared" si="283"/>
        <v>판타지 웹소설 &gt; 현대 판타지</v>
      </c>
    </row>
    <row r="1593" spans="1:48" x14ac:dyDescent="0.4">
      <c r="A1593">
        <v>2313011955</v>
      </c>
      <c r="B1593">
        <v>2313012658</v>
      </c>
      <c r="C1593" t="str">
        <f>T("갓 오브 블랙필드 442화 (외전 23)")</f>
        <v>갓 오브 블랙필드 442화 (외전 23)</v>
      </c>
      <c r="D1593" t="str">
        <f>T("442")</f>
        <v>442</v>
      </c>
      <c r="E1593" t="str">
        <f t="shared" si="282"/>
        <v>무장</v>
      </c>
      <c r="H1593" t="str">
        <f t="shared" si="287"/>
        <v>스토리위즈</v>
      </c>
      <c r="I1593" t="str">
        <f t="shared" si="284"/>
        <v>갓 오브 블랙필드</v>
      </c>
      <c r="J1593">
        <v>100</v>
      </c>
      <c r="K1593">
        <v>400</v>
      </c>
      <c r="L1593">
        <v>4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400</v>
      </c>
      <c r="AH1593">
        <v>4</v>
      </c>
      <c r="AI1593">
        <v>0</v>
      </c>
      <c r="AJ1593">
        <v>0</v>
      </c>
      <c r="AK1593">
        <v>400</v>
      </c>
      <c r="AL1593">
        <v>0</v>
      </c>
      <c r="AM1593">
        <v>0</v>
      </c>
      <c r="AN1593">
        <v>0</v>
      </c>
      <c r="AO1593">
        <v>0</v>
      </c>
      <c r="AP1593">
        <v>280</v>
      </c>
      <c r="AR1593" t="str">
        <f t="shared" si="285"/>
        <v>9788928067343</v>
      </c>
      <c r="AT1593" t="str">
        <f t="shared" si="286"/>
        <v>9791137602113</v>
      </c>
      <c r="AV1593" t="str">
        <f t="shared" si="283"/>
        <v>판타지 웹소설 &gt; 현대 판타지</v>
      </c>
    </row>
    <row r="1594" spans="1:48" x14ac:dyDescent="0.4">
      <c r="A1594">
        <v>2313011955</v>
      </c>
      <c r="B1594">
        <v>2313012659</v>
      </c>
      <c r="C1594" t="str">
        <f>T("갓 오브 블랙필드 443화 (외전 24)")</f>
        <v>갓 오브 블랙필드 443화 (외전 24)</v>
      </c>
      <c r="D1594" t="str">
        <f>T("443")</f>
        <v>443</v>
      </c>
      <c r="E1594" t="str">
        <f t="shared" si="282"/>
        <v>무장</v>
      </c>
      <c r="H1594" t="str">
        <f t="shared" si="287"/>
        <v>스토리위즈</v>
      </c>
      <c r="I1594" t="str">
        <f t="shared" si="284"/>
        <v>갓 오브 블랙필드</v>
      </c>
      <c r="J1594">
        <v>100</v>
      </c>
      <c r="K1594">
        <v>400</v>
      </c>
      <c r="L1594">
        <v>4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400</v>
      </c>
      <c r="AH1594">
        <v>4</v>
      </c>
      <c r="AI1594">
        <v>0</v>
      </c>
      <c r="AJ1594">
        <v>0</v>
      </c>
      <c r="AK1594">
        <v>400</v>
      </c>
      <c r="AL1594">
        <v>0</v>
      </c>
      <c r="AM1594">
        <v>0</v>
      </c>
      <c r="AN1594">
        <v>0</v>
      </c>
      <c r="AO1594">
        <v>0</v>
      </c>
      <c r="AP1594">
        <v>280</v>
      </c>
      <c r="AR1594" t="str">
        <f t="shared" si="285"/>
        <v>9788928067343</v>
      </c>
      <c r="AT1594" t="str">
        <f t="shared" si="286"/>
        <v>9791137602113</v>
      </c>
      <c r="AV1594" t="str">
        <f t="shared" si="283"/>
        <v>판타지 웹소설 &gt; 현대 판타지</v>
      </c>
    </row>
    <row r="1595" spans="1:48" x14ac:dyDescent="0.4">
      <c r="A1595">
        <v>2313011955</v>
      </c>
      <c r="B1595">
        <v>2313012660</v>
      </c>
      <c r="C1595" t="str">
        <f>T("갓 오브 블랙필드 444화 (외전 25)")</f>
        <v>갓 오브 블랙필드 444화 (외전 25)</v>
      </c>
      <c r="D1595" t="str">
        <f>T("444")</f>
        <v>444</v>
      </c>
      <c r="E1595" t="str">
        <f t="shared" si="282"/>
        <v>무장</v>
      </c>
      <c r="H1595" t="str">
        <f t="shared" si="287"/>
        <v>스토리위즈</v>
      </c>
      <c r="I1595" t="str">
        <f t="shared" si="284"/>
        <v>갓 오브 블랙필드</v>
      </c>
      <c r="J1595">
        <v>100</v>
      </c>
      <c r="K1595">
        <v>400</v>
      </c>
      <c r="L1595">
        <v>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400</v>
      </c>
      <c r="AH1595">
        <v>4</v>
      </c>
      <c r="AI1595">
        <v>0</v>
      </c>
      <c r="AJ1595">
        <v>0</v>
      </c>
      <c r="AK1595">
        <v>400</v>
      </c>
      <c r="AL1595">
        <v>0</v>
      </c>
      <c r="AM1595">
        <v>0</v>
      </c>
      <c r="AN1595">
        <v>0</v>
      </c>
      <c r="AO1595">
        <v>0</v>
      </c>
      <c r="AP1595">
        <v>280</v>
      </c>
      <c r="AR1595" t="str">
        <f t="shared" si="285"/>
        <v>9788928067343</v>
      </c>
      <c r="AT1595" t="str">
        <f t="shared" si="286"/>
        <v>9791137602113</v>
      </c>
      <c r="AV1595" t="str">
        <f t="shared" si="283"/>
        <v>판타지 웹소설 &gt; 현대 판타지</v>
      </c>
    </row>
    <row r="1596" spans="1:48" x14ac:dyDescent="0.4">
      <c r="A1596">
        <v>2313011955</v>
      </c>
      <c r="B1596">
        <v>2313012661</v>
      </c>
      <c r="C1596" t="str">
        <f>T("갓 오브 블랙필드 445화 (외전 26)")</f>
        <v>갓 오브 블랙필드 445화 (외전 26)</v>
      </c>
      <c r="D1596" t="str">
        <f>T("445")</f>
        <v>445</v>
      </c>
      <c r="E1596" t="str">
        <f t="shared" si="282"/>
        <v>무장</v>
      </c>
      <c r="H1596" t="str">
        <f t="shared" si="287"/>
        <v>스토리위즈</v>
      </c>
      <c r="I1596" t="str">
        <f t="shared" si="284"/>
        <v>갓 오브 블랙필드</v>
      </c>
      <c r="J1596">
        <v>100</v>
      </c>
      <c r="K1596">
        <v>400</v>
      </c>
      <c r="L1596">
        <v>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400</v>
      </c>
      <c r="AH1596">
        <v>4</v>
      </c>
      <c r="AI1596">
        <v>0</v>
      </c>
      <c r="AJ1596">
        <v>0</v>
      </c>
      <c r="AK1596">
        <v>400</v>
      </c>
      <c r="AL1596">
        <v>0</v>
      </c>
      <c r="AM1596">
        <v>0</v>
      </c>
      <c r="AN1596">
        <v>0</v>
      </c>
      <c r="AO1596">
        <v>0</v>
      </c>
      <c r="AP1596">
        <v>280</v>
      </c>
      <c r="AR1596" t="str">
        <f t="shared" si="285"/>
        <v>9788928067343</v>
      </c>
      <c r="AT1596" t="str">
        <f t="shared" si="286"/>
        <v>9791137602113</v>
      </c>
      <c r="AV1596" t="str">
        <f t="shared" si="283"/>
        <v>판타지 웹소설 &gt; 현대 판타지</v>
      </c>
    </row>
    <row r="1597" spans="1:48" x14ac:dyDescent="0.4">
      <c r="A1597">
        <v>2313011955</v>
      </c>
      <c r="B1597">
        <v>2313012663</v>
      </c>
      <c r="C1597" t="str">
        <f>T("갓 오브 블랙필드 447화 (외전 28)")</f>
        <v>갓 오브 블랙필드 447화 (외전 28)</v>
      </c>
      <c r="D1597" t="str">
        <f>T("447")</f>
        <v>447</v>
      </c>
      <c r="E1597" t="str">
        <f t="shared" si="282"/>
        <v>무장</v>
      </c>
      <c r="H1597" t="str">
        <f t="shared" si="287"/>
        <v>스토리위즈</v>
      </c>
      <c r="I1597" t="str">
        <f t="shared" si="284"/>
        <v>갓 오브 블랙필드</v>
      </c>
      <c r="J1597">
        <v>100</v>
      </c>
      <c r="K1597">
        <v>400</v>
      </c>
      <c r="L1597">
        <v>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400</v>
      </c>
      <c r="AH1597">
        <v>4</v>
      </c>
      <c r="AI1597">
        <v>0</v>
      </c>
      <c r="AJ1597">
        <v>0</v>
      </c>
      <c r="AK1597">
        <v>400</v>
      </c>
      <c r="AL1597">
        <v>0</v>
      </c>
      <c r="AM1597">
        <v>0</v>
      </c>
      <c r="AN1597">
        <v>0</v>
      </c>
      <c r="AO1597">
        <v>0</v>
      </c>
      <c r="AP1597">
        <v>280</v>
      </c>
      <c r="AR1597" t="str">
        <f t="shared" si="285"/>
        <v>9788928067343</v>
      </c>
      <c r="AT1597" t="str">
        <f t="shared" si="286"/>
        <v>9791137602113</v>
      </c>
      <c r="AV1597" t="str">
        <f t="shared" si="283"/>
        <v>판타지 웹소설 &gt; 현대 판타지</v>
      </c>
    </row>
    <row r="1598" spans="1:48" x14ac:dyDescent="0.4">
      <c r="A1598">
        <v>2313011955</v>
      </c>
      <c r="B1598">
        <v>2313012664</v>
      </c>
      <c r="C1598" t="str">
        <f>T("갓 오브 블랙필드 448화 (외전 29)")</f>
        <v>갓 오브 블랙필드 448화 (외전 29)</v>
      </c>
      <c r="D1598" t="str">
        <f>T("448")</f>
        <v>448</v>
      </c>
      <c r="E1598" t="str">
        <f t="shared" si="282"/>
        <v>무장</v>
      </c>
      <c r="H1598" t="str">
        <f t="shared" si="287"/>
        <v>스토리위즈</v>
      </c>
      <c r="I1598" t="str">
        <f t="shared" si="284"/>
        <v>갓 오브 블랙필드</v>
      </c>
      <c r="J1598">
        <v>100</v>
      </c>
      <c r="K1598">
        <v>400</v>
      </c>
      <c r="L1598">
        <v>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400</v>
      </c>
      <c r="AH1598">
        <v>4</v>
      </c>
      <c r="AI1598">
        <v>0</v>
      </c>
      <c r="AJ1598">
        <v>0</v>
      </c>
      <c r="AK1598">
        <v>400</v>
      </c>
      <c r="AL1598">
        <v>0</v>
      </c>
      <c r="AM1598">
        <v>0</v>
      </c>
      <c r="AN1598">
        <v>0</v>
      </c>
      <c r="AO1598">
        <v>0</v>
      </c>
      <c r="AP1598">
        <v>280</v>
      </c>
      <c r="AR1598" t="str">
        <f t="shared" si="285"/>
        <v>9788928067343</v>
      </c>
      <c r="AT1598" t="str">
        <f t="shared" si="286"/>
        <v>9791137602113</v>
      </c>
      <c r="AV1598" t="str">
        <f t="shared" si="283"/>
        <v>판타지 웹소설 &gt; 현대 판타지</v>
      </c>
    </row>
    <row r="1599" spans="1:48" x14ac:dyDescent="0.4">
      <c r="A1599">
        <v>2313011955</v>
      </c>
      <c r="B1599">
        <v>2313012665</v>
      </c>
      <c r="C1599" t="str">
        <f>T("갓 오브 블랙필드 449화 (외전 30)")</f>
        <v>갓 오브 블랙필드 449화 (외전 30)</v>
      </c>
      <c r="D1599" t="str">
        <f>T("449")</f>
        <v>449</v>
      </c>
      <c r="E1599" t="str">
        <f t="shared" si="282"/>
        <v>무장</v>
      </c>
      <c r="H1599" t="str">
        <f t="shared" si="287"/>
        <v>스토리위즈</v>
      </c>
      <c r="I1599" t="str">
        <f t="shared" si="284"/>
        <v>갓 오브 블랙필드</v>
      </c>
      <c r="J1599">
        <v>100</v>
      </c>
      <c r="K1599">
        <v>400</v>
      </c>
      <c r="L1599">
        <v>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400</v>
      </c>
      <c r="AH1599">
        <v>4</v>
      </c>
      <c r="AI1599">
        <v>0</v>
      </c>
      <c r="AJ1599">
        <v>0</v>
      </c>
      <c r="AK1599">
        <v>400</v>
      </c>
      <c r="AL1599">
        <v>0</v>
      </c>
      <c r="AM1599">
        <v>0</v>
      </c>
      <c r="AN1599">
        <v>0</v>
      </c>
      <c r="AO1599">
        <v>0</v>
      </c>
      <c r="AP1599">
        <v>280</v>
      </c>
      <c r="AR1599" t="str">
        <f t="shared" si="285"/>
        <v>9788928067343</v>
      </c>
      <c r="AT1599" t="str">
        <f t="shared" si="286"/>
        <v>9791137602113</v>
      </c>
      <c r="AV1599" t="str">
        <f t="shared" si="283"/>
        <v>판타지 웹소설 &gt; 현대 판타지</v>
      </c>
    </row>
    <row r="1600" spans="1:48" x14ac:dyDescent="0.4">
      <c r="A1600">
        <v>2313011955</v>
      </c>
      <c r="B1600">
        <v>2313012666</v>
      </c>
      <c r="C1600" t="str">
        <f>T("갓 오브 블랙필드 450화 (외전 31)")</f>
        <v>갓 오브 블랙필드 450화 (외전 31)</v>
      </c>
      <c r="D1600" t="str">
        <f>T("450")</f>
        <v>450</v>
      </c>
      <c r="E1600" t="str">
        <f t="shared" si="282"/>
        <v>무장</v>
      </c>
      <c r="H1600" t="str">
        <f t="shared" si="287"/>
        <v>스토리위즈</v>
      </c>
      <c r="I1600" t="str">
        <f t="shared" si="284"/>
        <v>갓 오브 블랙필드</v>
      </c>
      <c r="J1600">
        <v>100</v>
      </c>
      <c r="K1600">
        <v>400</v>
      </c>
      <c r="L1600">
        <v>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400</v>
      </c>
      <c r="AH1600">
        <v>4</v>
      </c>
      <c r="AI1600">
        <v>0</v>
      </c>
      <c r="AJ1600">
        <v>0</v>
      </c>
      <c r="AK1600">
        <v>400</v>
      </c>
      <c r="AL1600">
        <v>0</v>
      </c>
      <c r="AM1600">
        <v>0</v>
      </c>
      <c r="AN1600">
        <v>0</v>
      </c>
      <c r="AO1600">
        <v>0</v>
      </c>
      <c r="AP1600">
        <v>280</v>
      </c>
      <c r="AR1600" t="str">
        <f t="shared" si="285"/>
        <v>9788928067343</v>
      </c>
      <c r="AT1600" t="str">
        <f t="shared" si="286"/>
        <v>9791137602113</v>
      </c>
      <c r="AV1600" t="str">
        <f t="shared" si="283"/>
        <v>판타지 웹소설 &gt; 현대 판타지</v>
      </c>
    </row>
    <row r="1601" spans="1:48" x14ac:dyDescent="0.4">
      <c r="A1601">
        <v>2313011955</v>
      </c>
      <c r="B1601">
        <v>2313012667</v>
      </c>
      <c r="C1601" t="str">
        <f>T("갓 오브 블랙필드 451화 (외전 32)")</f>
        <v>갓 오브 블랙필드 451화 (외전 32)</v>
      </c>
      <c r="D1601" t="str">
        <f>T("451")</f>
        <v>451</v>
      </c>
      <c r="E1601" t="str">
        <f t="shared" si="282"/>
        <v>무장</v>
      </c>
      <c r="H1601" t="str">
        <f t="shared" si="287"/>
        <v>스토리위즈</v>
      </c>
      <c r="I1601" t="str">
        <f t="shared" si="284"/>
        <v>갓 오브 블랙필드</v>
      </c>
      <c r="J1601">
        <v>100</v>
      </c>
      <c r="K1601">
        <v>400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400</v>
      </c>
      <c r="AH1601">
        <v>4</v>
      </c>
      <c r="AI1601">
        <v>0</v>
      </c>
      <c r="AJ1601">
        <v>0</v>
      </c>
      <c r="AK1601">
        <v>400</v>
      </c>
      <c r="AL1601">
        <v>0</v>
      </c>
      <c r="AM1601">
        <v>0</v>
      </c>
      <c r="AN1601">
        <v>0</v>
      </c>
      <c r="AO1601">
        <v>0</v>
      </c>
      <c r="AP1601">
        <v>280</v>
      </c>
      <c r="AR1601" t="str">
        <f t="shared" si="285"/>
        <v>9788928067343</v>
      </c>
      <c r="AT1601" t="str">
        <f t="shared" si="286"/>
        <v>9791137602113</v>
      </c>
      <c r="AV1601" t="str">
        <f t="shared" si="283"/>
        <v>판타지 웹소설 &gt; 현대 판타지</v>
      </c>
    </row>
    <row r="1602" spans="1:48" x14ac:dyDescent="0.4">
      <c r="A1602">
        <v>2313011955</v>
      </c>
      <c r="B1602">
        <v>2313012668</v>
      </c>
      <c r="C1602" t="str">
        <f>T("갓 오브 블랙필드 452화 (외전 33)")</f>
        <v>갓 오브 블랙필드 452화 (외전 33)</v>
      </c>
      <c r="D1602" t="str">
        <f>T("452")</f>
        <v>452</v>
      </c>
      <c r="E1602" t="str">
        <f t="shared" si="282"/>
        <v>무장</v>
      </c>
      <c r="H1602" t="str">
        <f t="shared" si="287"/>
        <v>스토리위즈</v>
      </c>
      <c r="I1602" t="str">
        <f t="shared" si="284"/>
        <v>갓 오브 블랙필드</v>
      </c>
      <c r="J1602">
        <v>100</v>
      </c>
      <c r="K1602">
        <v>400</v>
      </c>
      <c r="L1602">
        <v>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400</v>
      </c>
      <c r="AH1602">
        <v>4</v>
      </c>
      <c r="AI1602">
        <v>0</v>
      </c>
      <c r="AJ1602">
        <v>0</v>
      </c>
      <c r="AK1602">
        <v>400</v>
      </c>
      <c r="AL1602">
        <v>0</v>
      </c>
      <c r="AM1602">
        <v>0</v>
      </c>
      <c r="AN1602">
        <v>0</v>
      </c>
      <c r="AO1602">
        <v>0</v>
      </c>
      <c r="AP1602">
        <v>280</v>
      </c>
      <c r="AR1602" t="str">
        <f t="shared" si="285"/>
        <v>9788928067343</v>
      </c>
      <c r="AT1602" t="str">
        <f t="shared" si="286"/>
        <v>9791137602113</v>
      </c>
      <c r="AV1602" t="str">
        <f t="shared" si="283"/>
        <v>판타지 웹소설 &gt; 현대 판타지</v>
      </c>
    </row>
    <row r="1603" spans="1:48" x14ac:dyDescent="0.4">
      <c r="A1603">
        <v>2313011955</v>
      </c>
      <c r="B1603">
        <v>2313012669</v>
      </c>
      <c r="C1603" t="str">
        <f>T("갓 오브 블랙필드 453화 (외전 34)")</f>
        <v>갓 오브 블랙필드 453화 (외전 34)</v>
      </c>
      <c r="D1603" t="str">
        <f>T("453")</f>
        <v>453</v>
      </c>
      <c r="E1603" t="str">
        <f t="shared" si="282"/>
        <v>무장</v>
      </c>
      <c r="H1603" t="str">
        <f t="shared" si="287"/>
        <v>스토리위즈</v>
      </c>
      <c r="I1603" t="str">
        <f t="shared" si="284"/>
        <v>갓 오브 블랙필드</v>
      </c>
      <c r="J1603">
        <v>100</v>
      </c>
      <c r="K1603">
        <v>400</v>
      </c>
      <c r="L1603">
        <v>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400</v>
      </c>
      <c r="AH1603">
        <v>4</v>
      </c>
      <c r="AI1603">
        <v>0</v>
      </c>
      <c r="AJ1603">
        <v>0</v>
      </c>
      <c r="AK1603">
        <v>400</v>
      </c>
      <c r="AL1603">
        <v>0</v>
      </c>
      <c r="AM1603">
        <v>0</v>
      </c>
      <c r="AN1603">
        <v>0</v>
      </c>
      <c r="AO1603">
        <v>0</v>
      </c>
      <c r="AP1603">
        <v>280</v>
      </c>
      <c r="AR1603" t="str">
        <f t="shared" si="285"/>
        <v>9788928067343</v>
      </c>
      <c r="AT1603" t="str">
        <f t="shared" si="286"/>
        <v>9791137602113</v>
      </c>
      <c r="AV1603" t="str">
        <f t="shared" si="283"/>
        <v>판타지 웹소설 &gt; 현대 판타지</v>
      </c>
    </row>
    <row r="1604" spans="1:48" x14ac:dyDescent="0.4">
      <c r="A1604">
        <v>2313011955</v>
      </c>
      <c r="B1604">
        <v>2313012670</v>
      </c>
      <c r="C1604" t="str">
        <f>T("갓 오브 블랙필드 454화 (외전 35)")</f>
        <v>갓 오브 블랙필드 454화 (외전 35)</v>
      </c>
      <c r="D1604" t="str">
        <f>T("454")</f>
        <v>454</v>
      </c>
      <c r="E1604" t="str">
        <f t="shared" si="282"/>
        <v>무장</v>
      </c>
      <c r="H1604" t="str">
        <f t="shared" si="287"/>
        <v>스토리위즈</v>
      </c>
      <c r="I1604" t="str">
        <f t="shared" si="284"/>
        <v>갓 오브 블랙필드</v>
      </c>
      <c r="J1604">
        <v>100</v>
      </c>
      <c r="K1604">
        <v>400</v>
      </c>
      <c r="L1604">
        <v>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400</v>
      </c>
      <c r="AH1604">
        <v>4</v>
      </c>
      <c r="AI1604">
        <v>0</v>
      </c>
      <c r="AJ1604">
        <v>0</v>
      </c>
      <c r="AK1604">
        <v>400</v>
      </c>
      <c r="AL1604">
        <v>0</v>
      </c>
      <c r="AM1604">
        <v>0</v>
      </c>
      <c r="AN1604">
        <v>0</v>
      </c>
      <c r="AO1604">
        <v>0</v>
      </c>
      <c r="AP1604">
        <v>280</v>
      </c>
      <c r="AR1604" t="str">
        <f t="shared" si="285"/>
        <v>9788928067343</v>
      </c>
      <c r="AT1604" t="str">
        <f t="shared" si="286"/>
        <v>9791137602113</v>
      </c>
      <c r="AV1604" t="str">
        <f t="shared" si="283"/>
        <v>판타지 웹소설 &gt; 현대 판타지</v>
      </c>
    </row>
    <row r="1605" spans="1:48" x14ac:dyDescent="0.4">
      <c r="A1605">
        <v>2313011955</v>
      </c>
      <c r="B1605">
        <v>2313012671</v>
      </c>
      <c r="C1605" t="str">
        <f>T("갓 오브 블랙필드 455화 (외전 36)")</f>
        <v>갓 오브 블랙필드 455화 (외전 36)</v>
      </c>
      <c r="D1605" t="str">
        <f>T("455")</f>
        <v>455</v>
      </c>
      <c r="E1605" t="str">
        <f t="shared" si="282"/>
        <v>무장</v>
      </c>
      <c r="H1605" t="str">
        <f t="shared" si="287"/>
        <v>스토리위즈</v>
      </c>
      <c r="I1605" t="str">
        <f t="shared" si="284"/>
        <v>갓 오브 블랙필드</v>
      </c>
      <c r="J1605">
        <v>100</v>
      </c>
      <c r="K1605">
        <v>400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400</v>
      </c>
      <c r="AH1605">
        <v>4</v>
      </c>
      <c r="AI1605">
        <v>0</v>
      </c>
      <c r="AJ1605">
        <v>0</v>
      </c>
      <c r="AK1605">
        <v>400</v>
      </c>
      <c r="AL1605">
        <v>0</v>
      </c>
      <c r="AM1605">
        <v>0</v>
      </c>
      <c r="AN1605">
        <v>0</v>
      </c>
      <c r="AO1605">
        <v>0</v>
      </c>
      <c r="AP1605">
        <v>280</v>
      </c>
      <c r="AR1605" t="str">
        <f t="shared" si="285"/>
        <v>9788928067343</v>
      </c>
      <c r="AT1605" t="str">
        <f t="shared" si="286"/>
        <v>9791137602113</v>
      </c>
      <c r="AV1605" t="str">
        <f t="shared" si="283"/>
        <v>판타지 웹소설 &gt; 현대 판타지</v>
      </c>
    </row>
    <row r="1606" spans="1:48" x14ac:dyDescent="0.4">
      <c r="A1606">
        <v>2313011955</v>
      </c>
      <c r="B1606">
        <v>2313012672</v>
      </c>
      <c r="C1606" t="str">
        <f>T("갓 오브 블랙필드 456화 (외전 37)")</f>
        <v>갓 오브 블랙필드 456화 (외전 37)</v>
      </c>
      <c r="D1606" t="str">
        <f>T("456")</f>
        <v>456</v>
      </c>
      <c r="E1606" t="str">
        <f t="shared" si="282"/>
        <v>무장</v>
      </c>
      <c r="H1606" t="str">
        <f t="shared" si="287"/>
        <v>스토리위즈</v>
      </c>
      <c r="I1606" t="str">
        <f t="shared" si="284"/>
        <v>갓 오브 블랙필드</v>
      </c>
      <c r="J1606">
        <v>100</v>
      </c>
      <c r="K1606">
        <v>400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400</v>
      </c>
      <c r="AH1606">
        <v>4</v>
      </c>
      <c r="AI1606">
        <v>0</v>
      </c>
      <c r="AJ1606">
        <v>0</v>
      </c>
      <c r="AK1606">
        <v>400</v>
      </c>
      <c r="AL1606">
        <v>0</v>
      </c>
      <c r="AM1606">
        <v>0</v>
      </c>
      <c r="AN1606">
        <v>0</v>
      </c>
      <c r="AO1606">
        <v>0</v>
      </c>
      <c r="AP1606">
        <v>280</v>
      </c>
      <c r="AR1606" t="str">
        <f t="shared" si="285"/>
        <v>9788928067343</v>
      </c>
      <c r="AT1606" t="str">
        <f t="shared" si="286"/>
        <v>9791137602113</v>
      </c>
      <c r="AV1606" t="str">
        <f t="shared" si="283"/>
        <v>판타지 웹소설 &gt; 현대 판타지</v>
      </c>
    </row>
    <row r="1607" spans="1:48" x14ac:dyDescent="0.4">
      <c r="A1607">
        <v>2313011955</v>
      </c>
      <c r="B1607">
        <v>2313012673</v>
      </c>
      <c r="C1607" t="str">
        <f>T("갓 오브 블랙필드 457화 (외전 38)")</f>
        <v>갓 오브 블랙필드 457화 (외전 38)</v>
      </c>
      <c r="D1607" t="str">
        <f>T("457")</f>
        <v>457</v>
      </c>
      <c r="E1607" t="str">
        <f t="shared" si="282"/>
        <v>무장</v>
      </c>
      <c r="H1607" t="str">
        <f t="shared" si="287"/>
        <v>스토리위즈</v>
      </c>
      <c r="I1607" t="str">
        <f t="shared" si="284"/>
        <v>갓 오브 블랙필드</v>
      </c>
      <c r="J1607">
        <v>100</v>
      </c>
      <c r="K1607">
        <v>400</v>
      </c>
      <c r="L1607">
        <v>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400</v>
      </c>
      <c r="AH1607">
        <v>4</v>
      </c>
      <c r="AI1607">
        <v>0</v>
      </c>
      <c r="AJ1607">
        <v>0</v>
      </c>
      <c r="AK1607">
        <v>400</v>
      </c>
      <c r="AL1607">
        <v>0</v>
      </c>
      <c r="AM1607">
        <v>0</v>
      </c>
      <c r="AN1607">
        <v>0</v>
      </c>
      <c r="AO1607">
        <v>0</v>
      </c>
      <c r="AP1607">
        <v>280</v>
      </c>
      <c r="AR1607" t="str">
        <f t="shared" si="285"/>
        <v>9788928067343</v>
      </c>
      <c r="AT1607" t="str">
        <f t="shared" si="286"/>
        <v>9791137602113</v>
      </c>
      <c r="AV1607" t="str">
        <f t="shared" si="283"/>
        <v>판타지 웹소설 &gt; 현대 판타지</v>
      </c>
    </row>
    <row r="1608" spans="1:48" x14ac:dyDescent="0.4">
      <c r="A1608">
        <v>2313011955</v>
      </c>
      <c r="B1608">
        <v>2313012674</v>
      </c>
      <c r="C1608" t="str">
        <f>T("갓 오브 블랙필드 458화 (외전 39)")</f>
        <v>갓 오브 블랙필드 458화 (외전 39)</v>
      </c>
      <c r="D1608" t="str">
        <f>T("458")</f>
        <v>458</v>
      </c>
      <c r="E1608" t="str">
        <f t="shared" si="282"/>
        <v>무장</v>
      </c>
      <c r="H1608" t="str">
        <f t="shared" si="287"/>
        <v>스토리위즈</v>
      </c>
      <c r="I1608" t="str">
        <f t="shared" si="284"/>
        <v>갓 오브 블랙필드</v>
      </c>
      <c r="J1608">
        <v>100</v>
      </c>
      <c r="K1608">
        <v>400</v>
      </c>
      <c r="L1608">
        <v>4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400</v>
      </c>
      <c r="AH1608">
        <v>4</v>
      </c>
      <c r="AI1608">
        <v>0</v>
      </c>
      <c r="AJ1608">
        <v>0</v>
      </c>
      <c r="AK1608">
        <v>400</v>
      </c>
      <c r="AL1608">
        <v>0</v>
      </c>
      <c r="AM1608">
        <v>0</v>
      </c>
      <c r="AN1608">
        <v>0</v>
      </c>
      <c r="AO1608">
        <v>0</v>
      </c>
      <c r="AP1608">
        <v>280</v>
      </c>
      <c r="AR1608" t="str">
        <f t="shared" si="285"/>
        <v>9788928067343</v>
      </c>
      <c r="AT1608" t="str">
        <f t="shared" si="286"/>
        <v>9791137602113</v>
      </c>
      <c r="AV1608" t="str">
        <f t="shared" si="283"/>
        <v>판타지 웹소설 &gt; 현대 판타지</v>
      </c>
    </row>
    <row r="1609" spans="1:48" x14ac:dyDescent="0.4">
      <c r="A1609">
        <v>2313011955</v>
      </c>
      <c r="B1609">
        <v>2313012675</v>
      </c>
      <c r="C1609" t="str">
        <f>T("갓 오브 블랙필드 459화 (외전 40)")</f>
        <v>갓 오브 블랙필드 459화 (외전 40)</v>
      </c>
      <c r="D1609" t="str">
        <f>T("459")</f>
        <v>459</v>
      </c>
      <c r="E1609" t="str">
        <f t="shared" ref="E1609:E1672" si="288">T("무장")</f>
        <v>무장</v>
      </c>
      <c r="H1609" t="str">
        <f t="shared" si="287"/>
        <v>스토리위즈</v>
      </c>
      <c r="I1609" t="str">
        <f t="shared" si="284"/>
        <v>갓 오브 블랙필드</v>
      </c>
      <c r="J1609">
        <v>100</v>
      </c>
      <c r="K1609">
        <v>400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400</v>
      </c>
      <c r="AH1609">
        <v>4</v>
      </c>
      <c r="AI1609">
        <v>0</v>
      </c>
      <c r="AJ1609">
        <v>0</v>
      </c>
      <c r="AK1609">
        <v>400</v>
      </c>
      <c r="AL1609">
        <v>0</v>
      </c>
      <c r="AM1609">
        <v>0</v>
      </c>
      <c r="AN1609">
        <v>0</v>
      </c>
      <c r="AO1609">
        <v>0</v>
      </c>
      <c r="AP1609">
        <v>280</v>
      </c>
      <c r="AR1609" t="str">
        <f t="shared" si="285"/>
        <v>9788928067343</v>
      </c>
      <c r="AT1609" t="str">
        <f t="shared" si="286"/>
        <v>9791137602113</v>
      </c>
      <c r="AV1609" t="str">
        <f t="shared" ref="AV1609:AV1672" si="289">T("판타지 웹소설 &gt; 현대 판타지")</f>
        <v>판타지 웹소설 &gt; 현대 판타지</v>
      </c>
    </row>
    <row r="1610" spans="1:48" x14ac:dyDescent="0.4">
      <c r="A1610">
        <v>2313011955</v>
      </c>
      <c r="B1610">
        <v>2313012676</v>
      </c>
      <c r="C1610" t="str">
        <f>T("갓 오브 블랙필드 460화 (외전 41)")</f>
        <v>갓 오브 블랙필드 460화 (외전 41)</v>
      </c>
      <c r="D1610" t="str">
        <f>T("460")</f>
        <v>460</v>
      </c>
      <c r="E1610" t="str">
        <f t="shared" si="288"/>
        <v>무장</v>
      </c>
      <c r="H1610" t="str">
        <f t="shared" si="287"/>
        <v>스토리위즈</v>
      </c>
      <c r="I1610" t="str">
        <f t="shared" si="284"/>
        <v>갓 오브 블랙필드</v>
      </c>
      <c r="J1610">
        <v>100</v>
      </c>
      <c r="K1610">
        <v>400</v>
      </c>
      <c r="L1610">
        <v>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400</v>
      </c>
      <c r="AH1610">
        <v>4</v>
      </c>
      <c r="AI1610">
        <v>0</v>
      </c>
      <c r="AJ1610">
        <v>0</v>
      </c>
      <c r="AK1610">
        <v>400</v>
      </c>
      <c r="AL1610">
        <v>0</v>
      </c>
      <c r="AM1610">
        <v>0</v>
      </c>
      <c r="AN1610">
        <v>0</v>
      </c>
      <c r="AO1610">
        <v>0</v>
      </c>
      <c r="AP1610">
        <v>280</v>
      </c>
      <c r="AR1610" t="str">
        <f t="shared" si="285"/>
        <v>9788928067343</v>
      </c>
      <c r="AT1610" t="str">
        <f t="shared" si="286"/>
        <v>9791137602113</v>
      </c>
      <c r="AV1610" t="str">
        <f t="shared" si="289"/>
        <v>판타지 웹소설 &gt; 현대 판타지</v>
      </c>
    </row>
    <row r="1611" spans="1:48" x14ac:dyDescent="0.4">
      <c r="A1611">
        <v>2313011955</v>
      </c>
      <c r="B1611">
        <v>2313012677</v>
      </c>
      <c r="C1611" t="str">
        <f>T("갓 오브 블랙필드 461화 (외전 42)")</f>
        <v>갓 오브 블랙필드 461화 (외전 42)</v>
      </c>
      <c r="D1611" t="str">
        <f>T("461")</f>
        <v>461</v>
      </c>
      <c r="E1611" t="str">
        <f t="shared" si="288"/>
        <v>무장</v>
      </c>
      <c r="H1611" t="str">
        <f t="shared" si="287"/>
        <v>스토리위즈</v>
      </c>
      <c r="I1611" t="str">
        <f t="shared" si="284"/>
        <v>갓 오브 블랙필드</v>
      </c>
      <c r="J1611">
        <v>100</v>
      </c>
      <c r="K1611">
        <v>400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400</v>
      </c>
      <c r="AH1611">
        <v>4</v>
      </c>
      <c r="AI1611">
        <v>0</v>
      </c>
      <c r="AJ1611">
        <v>0</v>
      </c>
      <c r="AK1611">
        <v>400</v>
      </c>
      <c r="AL1611">
        <v>0</v>
      </c>
      <c r="AM1611">
        <v>0</v>
      </c>
      <c r="AN1611">
        <v>0</v>
      </c>
      <c r="AO1611">
        <v>0</v>
      </c>
      <c r="AP1611">
        <v>280</v>
      </c>
      <c r="AR1611" t="str">
        <f t="shared" si="285"/>
        <v>9788928067343</v>
      </c>
      <c r="AT1611" t="str">
        <f t="shared" si="286"/>
        <v>9791137602113</v>
      </c>
      <c r="AV1611" t="str">
        <f t="shared" si="289"/>
        <v>판타지 웹소설 &gt; 현대 판타지</v>
      </c>
    </row>
    <row r="1612" spans="1:48" x14ac:dyDescent="0.4">
      <c r="A1612">
        <v>2313011955</v>
      </c>
      <c r="B1612">
        <v>2313012678</v>
      </c>
      <c r="C1612" t="str">
        <f>T("갓 오브 블랙필드 462화 (외전 43)")</f>
        <v>갓 오브 블랙필드 462화 (외전 43)</v>
      </c>
      <c r="D1612" t="str">
        <f>T("462")</f>
        <v>462</v>
      </c>
      <c r="E1612" t="str">
        <f t="shared" si="288"/>
        <v>무장</v>
      </c>
      <c r="H1612" t="str">
        <f t="shared" si="287"/>
        <v>스토리위즈</v>
      </c>
      <c r="I1612" t="str">
        <f t="shared" si="284"/>
        <v>갓 오브 블랙필드</v>
      </c>
      <c r="J1612">
        <v>100</v>
      </c>
      <c r="K1612">
        <v>400</v>
      </c>
      <c r="L1612">
        <v>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400</v>
      </c>
      <c r="AH1612">
        <v>4</v>
      </c>
      <c r="AI1612">
        <v>0</v>
      </c>
      <c r="AJ1612">
        <v>0</v>
      </c>
      <c r="AK1612">
        <v>400</v>
      </c>
      <c r="AL1612">
        <v>0</v>
      </c>
      <c r="AM1612">
        <v>0</v>
      </c>
      <c r="AN1612">
        <v>0</v>
      </c>
      <c r="AO1612">
        <v>0</v>
      </c>
      <c r="AP1612">
        <v>280</v>
      </c>
      <c r="AR1612" t="str">
        <f t="shared" si="285"/>
        <v>9788928067343</v>
      </c>
      <c r="AT1612" t="str">
        <f t="shared" si="286"/>
        <v>9791137602113</v>
      </c>
      <c r="AV1612" t="str">
        <f t="shared" si="289"/>
        <v>판타지 웹소설 &gt; 현대 판타지</v>
      </c>
    </row>
    <row r="1613" spans="1:48" x14ac:dyDescent="0.4">
      <c r="A1613">
        <v>2313011955</v>
      </c>
      <c r="B1613">
        <v>2313012679</v>
      </c>
      <c r="C1613" t="str">
        <f>T("갓 오브 블랙필드 463화 (외전 44)")</f>
        <v>갓 오브 블랙필드 463화 (외전 44)</v>
      </c>
      <c r="D1613" t="str">
        <f>T("463")</f>
        <v>463</v>
      </c>
      <c r="E1613" t="str">
        <f t="shared" si="288"/>
        <v>무장</v>
      </c>
      <c r="H1613" t="str">
        <f t="shared" si="287"/>
        <v>스토리위즈</v>
      </c>
      <c r="I1613" t="str">
        <f t="shared" si="284"/>
        <v>갓 오브 블랙필드</v>
      </c>
      <c r="J1613">
        <v>100</v>
      </c>
      <c r="K1613">
        <v>400</v>
      </c>
      <c r="L1613">
        <v>4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400</v>
      </c>
      <c r="AH1613">
        <v>4</v>
      </c>
      <c r="AI1613">
        <v>0</v>
      </c>
      <c r="AJ1613">
        <v>0</v>
      </c>
      <c r="AK1613">
        <v>400</v>
      </c>
      <c r="AL1613">
        <v>0</v>
      </c>
      <c r="AM1613">
        <v>0</v>
      </c>
      <c r="AN1613">
        <v>0</v>
      </c>
      <c r="AO1613">
        <v>0</v>
      </c>
      <c r="AP1613">
        <v>280</v>
      </c>
      <c r="AR1613" t="str">
        <f t="shared" si="285"/>
        <v>9788928067343</v>
      </c>
      <c r="AT1613" t="str">
        <f t="shared" si="286"/>
        <v>9791137602113</v>
      </c>
      <c r="AV1613" t="str">
        <f t="shared" si="289"/>
        <v>판타지 웹소설 &gt; 현대 판타지</v>
      </c>
    </row>
    <row r="1614" spans="1:48" x14ac:dyDescent="0.4">
      <c r="A1614">
        <v>2313011955</v>
      </c>
      <c r="B1614">
        <v>2313012680</v>
      </c>
      <c r="C1614" t="str">
        <f>T("갓 오브 블랙필드 464화 (외전 45)")</f>
        <v>갓 오브 블랙필드 464화 (외전 45)</v>
      </c>
      <c r="D1614" t="str">
        <f>T("464")</f>
        <v>464</v>
      </c>
      <c r="E1614" t="str">
        <f t="shared" si="288"/>
        <v>무장</v>
      </c>
      <c r="H1614" t="str">
        <f t="shared" si="287"/>
        <v>스토리위즈</v>
      </c>
      <c r="I1614" t="str">
        <f t="shared" si="284"/>
        <v>갓 오브 블랙필드</v>
      </c>
      <c r="J1614">
        <v>100</v>
      </c>
      <c r="K1614">
        <v>400</v>
      </c>
      <c r="L1614">
        <v>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400</v>
      </c>
      <c r="AH1614">
        <v>4</v>
      </c>
      <c r="AI1614">
        <v>0</v>
      </c>
      <c r="AJ1614">
        <v>0</v>
      </c>
      <c r="AK1614">
        <v>400</v>
      </c>
      <c r="AL1614">
        <v>0</v>
      </c>
      <c r="AM1614">
        <v>0</v>
      </c>
      <c r="AN1614">
        <v>0</v>
      </c>
      <c r="AO1614">
        <v>0</v>
      </c>
      <c r="AP1614">
        <v>280</v>
      </c>
      <c r="AR1614" t="str">
        <f t="shared" si="285"/>
        <v>9788928067343</v>
      </c>
      <c r="AT1614" t="str">
        <f t="shared" si="286"/>
        <v>9791137602113</v>
      </c>
      <c r="AV1614" t="str">
        <f t="shared" si="289"/>
        <v>판타지 웹소설 &gt; 현대 판타지</v>
      </c>
    </row>
    <row r="1615" spans="1:48" x14ac:dyDescent="0.4">
      <c r="A1615">
        <v>2313011955</v>
      </c>
      <c r="B1615">
        <v>2313012681</v>
      </c>
      <c r="C1615" t="str">
        <f>T("갓 오브 블랙필드 465화 (외전 46)")</f>
        <v>갓 오브 블랙필드 465화 (외전 46)</v>
      </c>
      <c r="D1615" t="str">
        <f>T("465")</f>
        <v>465</v>
      </c>
      <c r="E1615" t="str">
        <f t="shared" si="288"/>
        <v>무장</v>
      </c>
      <c r="H1615" t="str">
        <f t="shared" si="287"/>
        <v>스토리위즈</v>
      </c>
      <c r="I1615" t="str">
        <f t="shared" si="284"/>
        <v>갓 오브 블랙필드</v>
      </c>
      <c r="J1615">
        <v>100</v>
      </c>
      <c r="K1615">
        <v>400</v>
      </c>
      <c r="L1615">
        <v>4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400</v>
      </c>
      <c r="AH1615">
        <v>4</v>
      </c>
      <c r="AI1615">
        <v>0</v>
      </c>
      <c r="AJ1615">
        <v>0</v>
      </c>
      <c r="AK1615">
        <v>400</v>
      </c>
      <c r="AL1615">
        <v>0</v>
      </c>
      <c r="AM1615">
        <v>0</v>
      </c>
      <c r="AN1615">
        <v>0</v>
      </c>
      <c r="AO1615">
        <v>0</v>
      </c>
      <c r="AP1615">
        <v>280</v>
      </c>
      <c r="AR1615" t="str">
        <f t="shared" si="285"/>
        <v>9788928067343</v>
      </c>
      <c r="AT1615" t="str">
        <f t="shared" si="286"/>
        <v>9791137602113</v>
      </c>
      <c r="AV1615" t="str">
        <f t="shared" si="289"/>
        <v>판타지 웹소설 &gt; 현대 판타지</v>
      </c>
    </row>
    <row r="1616" spans="1:48" x14ac:dyDescent="0.4">
      <c r="A1616">
        <v>2313011955</v>
      </c>
      <c r="B1616">
        <v>2313012682</v>
      </c>
      <c r="C1616" t="str">
        <f>T("갓 오브 블랙필드 466화 (외전 47)")</f>
        <v>갓 오브 블랙필드 466화 (외전 47)</v>
      </c>
      <c r="D1616" t="str">
        <f>T("466")</f>
        <v>466</v>
      </c>
      <c r="E1616" t="str">
        <f t="shared" si="288"/>
        <v>무장</v>
      </c>
      <c r="H1616" t="str">
        <f t="shared" si="287"/>
        <v>스토리위즈</v>
      </c>
      <c r="I1616" t="str">
        <f t="shared" si="284"/>
        <v>갓 오브 블랙필드</v>
      </c>
      <c r="J1616">
        <v>100</v>
      </c>
      <c r="K1616">
        <v>400</v>
      </c>
      <c r="L1616">
        <v>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400</v>
      </c>
      <c r="AH1616">
        <v>4</v>
      </c>
      <c r="AI1616">
        <v>0</v>
      </c>
      <c r="AJ1616">
        <v>0</v>
      </c>
      <c r="AK1616">
        <v>400</v>
      </c>
      <c r="AL1616">
        <v>0</v>
      </c>
      <c r="AM1616">
        <v>0</v>
      </c>
      <c r="AN1616">
        <v>0</v>
      </c>
      <c r="AO1616">
        <v>0</v>
      </c>
      <c r="AP1616">
        <v>280</v>
      </c>
      <c r="AR1616" t="str">
        <f t="shared" si="285"/>
        <v>9788928067343</v>
      </c>
      <c r="AT1616" t="str">
        <f t="shared" si="286"/>
        <v>9791137602113</v>
      </c>
      <c r="AV1616" t="str">
        <f t="shared" si="289"/>
        <v>판타지 웹소설 &gt; 현대 판타지</v>
      </c>
    </row>
    <row r="1617" spans="1:48" x14ac:dyDescent="0.4">
      <c r="A1617">
        <v>2313011955</v>
      </c>
      <c r="B1617">
        <v>2313012683</v>
      </c>
      <c r="C1617" t="str">
        <f>T("갓 오브 블랙필드 467화 (외전 48)")</f>
        <v>갓 오브 블랙필드 467화 (외전 48)</v>
      </c>
      <c r="D1617" t="str">
        <f>T("467")</f>
        <v>467</v>
      </c>
      <c r="E1617" t="str">
        <f t="shared" si="288"/>
        <v>무장</v>
      </c>
      <c r="H1617" t="str">
        <f t="shared" si="287"/>
        <v>스토리위즈</v>
      </c>
      <c r="I1617" t="str">
        <f t="shared" si="284"/>
        <v>갓 오브 블랙필드</v>
      </c>
      <c r="J1617">
        <v>100</v>
      </c>
      <c r="K1617">
        <v>400</v>
      </c>
      <c r="L1617">
        <v>4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400</v>
      </c>
      <c r="AH1617">
        <v>4</v>
      </c>
      <c r="AI1617">
        <v>0</v>
      </c>
      <c r="AJ1617">
        <v>0</v>
      </c>
      <c r="AK1617">
        <v>400</v>
      </c>
      <c r="AL1617">
        <v>0</v>
      </c>
      <c r="AM1617">
        <v>0</v>
      </c>
      <c r="AN1617">
        <v>0</v>
      </c>
      <c r="AO1617">
        <v>0</v>
      </c>
      <c r="AP1617">
        <v>280</v>
      </c>
      <c r="AR1617" t="str">
        <f t="shared" si="285"/>
        <v>9788928067343</v>
      </c>
      <c r="AT1617" t="str">
        <f t="shared" si="286"/>
        <v>9791137602113</v>
      </c>
      <c r="AV1617" t="str">
        <f t="shared" si="289"/>
        <v>판타지 웹소설 &gt; 현대 판타지</v>
      </c>
    </row>
    <row r="1618" spans="1:48" x14ac:dyDescent="0.4">
      <c r="A1618">
        <v>2313011955</v>
      </c>
      <c r="B1618">
        <v>2313012684</v>
      </c>
      <c r="C1618" t="str">
        <f>T("갓 오브 블랙필드 468화 (외전 49)")</f>
        <v>갓 오브 블랙필드 468화 (외전 49)</v>
      </c>
      <c r="D1618" t="str">
        <f>T("468")</f>
        <v>468</v>
      </c>
      <c r="E1618" t="str">
        <f t="shared" si="288"/>
        <v>무장</v>
      </c>
      <c r="H1618" t="str">
        <f t="shared" si="287"/>
        <v>스토리위즈</v>
      </c>
      <c r="I1618" t="str">
        <f t="shared" si="284"/>
        <v>갓 오브 블랙필드</v>
      </c>
      <c r="J1618">
        <v>100</v>
      </c>
      <c r="K1618">
        <v>400</v>
      </c>
      <c r="L1618">
        <v>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400</v>
      </c>
      <c r="AH1618">
        <v>4</v>
      </c>
      <c r="AI1618">
        <v>0</v>
      </c>
      <c r="AJ1618">
        <v>0</v>
      </c>
      <c r="AK1618">
        <v>400</v>
      </c>
      <c r="AL1618">
        <v>0</v>
      </c>
      <c r="AM1618">
        <v>0</v>
      </c>
      <c r="AN1618">
        <v>0</v>
      </c>
      <c r="AO1618">
        <v>0</v>
      </c>
      <c r="AP1618">
        <v>280</v>
      </c>
      <c r="AR1618" t="str">
        <f t="shared" si="285"/>
        <v>9788928067343</v>
      </c>
      <c r="AT1618" t="str">
        <f t="shared" si="286"/>
        <v>9791137602113</v>
      </c>
      <c r="AV1618" t="str">
        <f t="shared" si="289"/>
        <v>판타지 웹소설 &gt; 현대 판타지</v>
      </c>
    </row>
    <row r="1619" spans="1:48" x14ac:dyDescent="0.4">
      <c r="A1619">
        <v>2313011955</v>
      </c>
      <c r="B1619">
        <v>2313012686</v>
      </c>
      <c r="C1619" t="str">
        <f>T("갓 오브 블랙필드 470화 (외전 51)")</f>
        <v>갓 오브 블랙필드 470화 (외전 51)</v>
      </c>
      <c r="D1619" t="str">
        <f>T("470")</f>
        <v>470</v>
      </c>
      <c r="E1619" t="str">
        <f t="shared" si="288"/>
        <v>무장</v>
      </c>
      <c r="H1619" t="str">
        <f t="shared" si="287"/>
        <v>스토리위즈</v>
      </c>
      <c r="I1619" t="str">
        <f t="shared" si="284"/>
        <v>갓 오브 블랙필드</v>
      </c>
      <c r="J1619">
        <v>100</v>
      </c>
      <c r="K1619">
        <v>400</v>
      </c>
      <c r="L1619">
        <v>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400</v>
      </c>
      <c r="AH1619">
        <v>4</v>
      </c>
      <c r="AI1619">
        <v>0</v>
      </c>
      <c r="AJ1619">
        <v>0</v>
      </c>
      <c r="AK1619">
        <v>400</v>
      </c>
      <c r="AL1619">
        <v>0</v>
      </c>
      <c r="AM1619">
        <v>0</v>
      </c>
      <c r="AN1619">
        <v>0</v>
      </c>
      <c r="AO1619">
        <v>0</v>
      </c>
      <c r="AP1619">
        <v>280</v>
      </c>
      <c r="AR1619" t="str">
        <f t="shared" si="285"/>
        <v>9788928067343</v>
      </c>
      <c r="AT1619" t="str">
        <f t="shared" si="286"/>
        <v>9791137602113</v>
      </c>
      <c r="AV1619" t="str">
        <f t="shared" si="289"/>
        <v>판타지 웹소설 &gt; 현대 판타지</v>
      </c>
    </row>
    <row r="1620" spans="1:48" x14ac:dyDescent="0.4">
      <c r="A1620">
        <v>2313011955</v>
      </c>
      <c r="B1620">
        <v>2313012687</v>
      </c>
      <c r="C1620" t="str">
        <f>T("갓 오브 블랙필드 471화 (외전 52)")</f>
        <v>갓 오브 블랙필드 471화 (외전 52)</v>
      </c>
      <c r="D1620" t="str">
        <f>T("471")</f>
        <v>471</v>
      </c>
      <c r="E1620" t="str">
        <f t="shared" si="288"/>
        <v>무장</v>
      </c>
      <c r="H1620" t="str">
        <f t="shared" si="287"/>
        <v>스토리위즈</v>
      </c>
      <c r="I1620" t="str">
        <f t="shared" si="284"/>
        <v>갓 오브 블랙필드</v>
      </c>
      <c r="J1620">
        <v>100</v>
      </c>
      <c r="K1620">
        <v>400</v>
      </c>
      <c r="L1620">
        <v>4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400</v>
      </c>
      <c r="AH1620">
        <v>4</v>
      </c>
      <c r="AI1620">
        <v>0</v>
      </c>
      <c r="AJ1620">
        <v>0</v>
      </c>
      <c r="AK1620">
        <v>400</v>
      </c>
      <c r="AL1620">
        <v>0</v>
      </c>
      <c r="AM1620">
        <v>0</v>
      </c>
      <c r="AN1620">
        <v>0</v>
      </c>
      <c r="AO1620">
        <v>0</v>
      </c>
      <c r="AP1620">
        <v>280</v>
      </c>
      <c r="AR1620" t="str">
        <f t="shared" si="285"/>
        <v>9788928067343</v>
      </c>
      <c r="AT1620" t="str">
        <f t="shared" si="286"/>
        <v>9791137602113</v>
      </c>
      <c r="AV1620" t="str">
        <f t="shared" si="289"/>
        <v>판타지 웹소설 &gt; 현대 판타지</v>
      </c>
    </row>
    <row r="1621" spans="1:48" x14ac:dyDescent="0.4">
      <c r="A1621">
        <v>2313011955</v>
      </c>
      <c r="B1621">
        <v>2313012688</v>
      </c>
      <c r="C1621" t="str">
        <f>T("갓 오브 블랙필드 472화 (외전 53)")</f>
        <v>갓 오브 블랙필드 472화 (외전 53)</v>
      </c>
      <c r="D1621" t="str">
        <f>T("472")</f>
        <v>472</v>
      </c>
      <c r="E1621" t="str">
        <f t="shared" si="288"/>
        <v>무장</v>
      </c>
      <c r="H1621" t="str">
        <f t="shared" si="287"/>
        <v>스토리위즈</v>
      </c>
      <c r="I1621" t="str">
        <f t="shared" si="284"/>
        <v>갓 오브 블랙필드</v>
      </c>
      <c r="J1621">
        <v>100</v>
      </c>
      <c r="K1621">
        <v>400</v>
      </c>
      <c r="L1621">
        <v>4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400</v>
      </c>
      <c r="AH1621">
        <v>4</v>
      </c>
      <c r="AI1621">
        <v>0</v>
      </c>
      <c r="AJ1621">
        <v>0</v>
      </c>
      <c r="AK1621">
        <v>400</v>
      </c>
      <c r="AL1621">
        <v>0</v>
      </c>
      <c r="AM1621">
        <v>0</v>
      </c>
      <c r="AN1621">
        <v>0</v>
      </c>
      <c r="AO1621">
        <v>0</v>
      </c>
      <c r="AP1621">
        <v>280</v>
      </c>
      <c r="AR1621" t="str">
        <f t="shared" si="285"/>
        <v>9788928067343</v>
      </c>
      <c r="AT1621" t="str">
        <f t="shared" si="286"/>
        <v>9791137602113</v>
      </c>
      <c r="AV1621" t="str">
        <f t="shared" si="289"/>
        <v>판타지 웹소설 &gt; 현대 판타지</v>
      </c>
    </row>
    <row r="1622" spans="1:48" x14ac:dyDescent="0.4">
      <c r="A1622">
        <v>2313011955</v>
      </c>
      <c r="B1622">
        <v>2313012689</v>
      </c>
      <c r="C1622" t="str">
        <f>T("갓 오브 블랙필드 473화 (외전 54)")</f>
        <v>갓 오브 블랙필드 473화 (외전 54)</v>
      </c>
      <c r="D1622" t="str">
        <f>T("473")</f>
        <v>473</v>
      </c>
      <c r="E1622" t="str">
        <f t="shared" si="288"/>
        <v>무장</v>
      </c>
      <c r="H1622" t="str">
        <f t="shared" si="287"/>
        <v>스토리위즈</v>
      </c>
      <c r="I1622" t="str">
        <f t="shared" si="284"/>
        <v>갓 오브 블랙필드</v>
      </c>
      <c r="J1622">
        <v>100</v>
      </c>
      <c r="K1622">
        <v>400</v>
      </c>
      <c r="L1622">
        <v>4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400</v>
      </c>
      <c r="AH1622">
        <v>4</v>
      </c>
      <c r="AI1622">
        <v>0</v>
      </c>
      <c r="AJ1622">
        <v>0</v>
      </c>
      <c r="AK1622">
        <v>400</v>
      </c>
      <c r="AL1622">
        <v>0</v>
      </c>
      <c r="AM1622">
        <v>0</v>
      </c>
      <c r="AN1622">
        <v>0</v>
      </c>
      <c r="AO1622">
        <v>0</v>
      </c>
      <c r="AP1622">
        <v>280</v>
      </c>
      <c r="AR1622" t="str">
        <f t="shared" si="285"/>
        <v>9788928067343</v>
      </c>
      <c r="AT1622" t="str">
        <f t="shared" si="286"/>
        <v>9791137602113</v>
      </c>
      <c r="AV1622" t="str">
        <f t="shared" si="289"/>
        <v>판타지 웹소설 &gt; 현대 판타지</v>
      </c>
    </row>
    <row r="1623" spans="1:48" x14ac:dyDescent="0.4">
      <c r="A1623">
        <v>2313011955</v>
      </c>
      <c r="B1623">
        <v>2313012690</v>
      </c>
      <c r="C1623" t="str">
        <f>T("갓 오브 블랙필드 474화 (외전 55)")</f>
        <v>갓 오브 블랙필드 474화 (외전 55)</v>
      </c>
      <c r="D1623" t="str">
        <f>T("474")</f>
        <v>474</v>
      </c>
      <c r="E1623" t="str">
        <f t="shared" si="288"/>
        <v>무장</v>
      </c>
      <c r="H1623" t="str">
        <f t="shared" si="287"/>
        <v>스토리위즈</v>
      </c>
      <c r="I1623" t="str">
        <f t="shared" si="284"/>
        <v>갓 오브 블랙필드</v>
      </c>
      <c r="J1623">
        <v>100</v>
      </c>
      <c r="K1623">
        <v>400</v>
      </c>
      <c r="L1623">
        <v>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400</v>
      </c>
      <c r="AH1623">
        <v>4</v>
      </c>
      <c r="AI1623">
        <v>0</v>
      </c>
      <c r="AJ1623">
        <v>0</v>
      </c>
      <c r="AK1623">
        <v>400</v>
      </c>
      <c r="AL1623">
        <v>0</v>
      </c>
      <c r="AM1623">
        <v>0</v>
      </c>
      <c r="AN1623">
        <v>0</v>
      </c>
      <c r="AO1623">
        <v>0</v>
      </c>
      <c r="AP1623">
        <v>280</v>
      </c>
      <c r="AR1623" t="str">
        <f t="shared" si="285"/>
        <v>9788928067343</v>
      </c>
      <c r="AT1623" t="str">
        <f t="shared" si="286"/>
        <v>9791137602113</v>
      </c>
      <c r="AV1623" t="str">
        <f t="shared" si="289"/>
        <v>판타지 웹소설 &gt; 현대 판타지</v>
      </c>
    </row>
    <row r="1624" spans="1:48" x14ac:dyDescent="0.4">
      <c r="A1624">
        <v>2313011955</v>
      </c>
      <c r="B1624">
        <v>2313012691</v>
      </c>
      <c r="C1624" t="str">
        <f>T("갓 오브 블랙필드 475화 (외전 56)")</f>
        <v>갓 오브 블랙필드 475화 (외전 56)</v>
      </c>
      <c r="D1624" t="str">
        <f>T("475")</f>
        <v>475</v>
      </c>
      <c r="E1624" t="str">
        <f t="shared" si="288"/>
        <v>무장</v>
      </c>
      <c r="H1624" t="str">
        <f t="shared" si="287"/>
        <v>스토리위즈</v>
      </c>
      <c r="I1624" t="str">
        <f t="shared" si="284"/>
        <v>갓 오브 블랙필드</v>
      </c>
      <c r="J1624">
        <v>100</v>
      </c>
      <c r="K1624">
        <v>400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400</v>
      </c>
      <c r="AH1624">
        <v>4</v>
      </c>
      <c r="AI1624">
        <v>0</v>
      </c>
      <c r="AJ1624">
        <v>0</v>
      </c>
      <c r="AK1624">
        <v>400</v>
      </c>
      <c r="AL1624">
        <v>0</v>
      </c>
      <c r="AM1624">
        <v>0</v>
      </c>
      <c r="AN1624">
        <v>0</v>
      </c>
      <c r="AO1624">
        <v>0</v>
      </c>
      <c r="AP1624">
        <v>280</v>
      </c>
      <c r="AR1624" t="str">
        <f t="shared" si="285"/>
        <v>9788928067343</v>
      </c>
      <c r="AT1624" t="str">
        <f t="shared" si="286"/>
        <v>9791137602113</v>
      </c>
      <c r="AV1624" t="str">
        <f t="shared" si="289"/>
        <v>판타지 웹소설 &gt; 현대 판타지</v>
      </c>
    </row>
    <row r="1625" spans="1:48" x14ac:dyDescent="0.4">
      <c r="A1625">
        <v>2313011955</v>
      </c>
      <c r="B1625">
        <v>2313012692</v>
      </c>
      <c r="C1625" t="str">
        <f>T("갓 오브 블랙필드 476화 (외전 57)")</f>
        <v>갓 오브 블랙필드 476화 (외전 57)</v>
      </c>
      <c r="D1625" t="str">
        <f>T("476")</f>
        <v>476</v>
      </c>
      <c r="E1625" t="str">
        <f t="shared" si="288"/>
        <v>무장</v>
      </c>
      <c r="H1625" t="str">
        <f t="shared" si="287"/>
        <v>스토리위즈</v>
      </c>
      <c r="I1625" t="str">
        <f t="shared" si="284"/>
        <v>갓 오브 블랙필드</v>
      </c>
      <c r="J1625">
        <v>100</v>
      </c>
      <c r="K1625">
        <v>400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400</v>
      </c>
      <c r="AH1625">
        <v>4</v>
      </c>
      <c r="AI1625">
        <v>0</v>
      </c>
      <c r="AJ1625">
        <v>0</v>
      </c>
      <c r="AK1625">
        <v>400</v>
      </c>
      <c r="AL1625">
        <v>0</v>
      </c>
      <c r="AM1625">
        <v>0</v>
      </c>
      <c r="AN1625">
        <v>0</v>
      </c>
      <c r="AO1625">
        <v>0</v>
      </c>
      <c r="AP1625">
        <v>280</v>
      </c>
      <c r="AR1625" t="str">
        <f t="shared" si="285"/>
        <v>9788928067343</v>
      </c>
      <c r="AT1625" t="str">
        <f t="shared" si="286"/>
        <v>9791137602113</v>
      </c>
      <c r="AV1625" t="str">
        <f t="shared" si="289"/>
        <v>판타지 웹소설 &gt; 현대 판타지</v>
      </c>
    </row>
    <row r="1626" spans="1:48" x14ac:dyDescent="0.4">
      <c r="A1626">
        <v>2313011955</v>
      </c>
      <c r="B1626">
        <v>2313012693</v>
      </c>
      <c r="C1626" t="str">
        <f>T("갓 오브 블랙필드 477화 (외전 58)")</f>
        <v>갓 오브 블랙필드 477화 (외전 58)</v>
      </c>
      <c r="D1626" t="str">
        <f>T("477")</f>
        <v>477</v>
      </c>
      <c r="E1626" t="str">
        <f t="shared" si="288"/>
        <v>무장</v>
      </c>
      <c r="H1626" t="str">
        <f t="shared" si="287"/>
        <v>스토리위즈</v>
      </c>
      <c r="I1626" t="str">
        <f t="shared" si="284"/>
        <v>갓 오브 블랙필드</v>
      </c>
      <c r="J1626">
        <v>100</v>
      </c>
      <c r="K1626">
        <v>400</v>
      </c>
      <c r="L1626">
        <v>4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400</v>
      </c>
      <c r="AH1626">
        <v>4</v>
      </c>
      <c r="AI1626">
        <v>0</v>
      </c>
      <c r="AJ1626">
        <v>0</v>
      </c>
      <c r="AK1626">
        <v>400</v>
      </c>
      <c r="AL1626">
        <v>0</v>
      </c>
      <c r="AM1626">
        <v>0</v>
      </c>
      <c r="AN1626">
        <v>0</v>
      </c>
      <c r="AO1626">
        <v>0</v>
      </c>
      <c r="AP1626">
        <v>280</v>
      </c>
      <c r="AR1626" t="str">
        <f t="shared" si="285"/>
        <v>9788928067343</v>
      </c>
      <c r="AT1626" t="str">
        <f t="shared" si="286"/>
        <v>9791137602113</v>
      </c>
      <c r="AV1626" t="str">
        <f t="shared" si="289"/>
        <v>판타지 웹소설 &gt; 현대 판타지</v>
      </c>
    </row>
    <row r="1627" spans="1:48" x14ac:dyDescent="0.4">
      <c r="A1627">
        <v>2313011955</v>
      </c>
      <c r="B1627">
        <v>2313012694</v>
      </c>
      <c r="C1627" t="str">
        <f>T("갓 오브 블랙필드 478화 (외전 59)")</f>
        <v>갓 오브 블랙필드 478화 (외전 59)</v>
      </c>
      <c r="D1627" t="str">
        <f>T("478")</f>
        <v>478</v>
      </c>
      <c r="E1627" t="str">
        <f t="shared" si="288"/>
        <v>무장</v>
      </c>
      <c r="H1627" t="str">
        <f t="shared" si="287"/>
        <v>스토리위즈</v>
      </c>
      <c r="I1627" t="str">
        <f t="shared" si="284"/>
        <v>갓 오브 블랙필드</v>
      </c>
      <c r="J1627">
        <v>100</v>
      </c>
      <c r="K1627">
        <v>400</v>
      </c>
      <c r="L1627">
        <v>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400</v>
      </c>
      <c r="AH1627">
        <v>4</v>
      </c>
      <c r="AI1627">
        <v>0</v>
      </c>
      <c r="AJ1627">
        <v>0</v>
      </c>
      <c r="AK1627">
        <v>400</v>
      </c>
      <c r="AL1627">
        <v>0</v>
      </c>
      <c r="AM1627">
        <v>0</v>
      </c>
      <c r="AN1627">
        <v>0</v>
      </c>
      <c r="AO1627">
        <v>0</v>
      </c>
      <c r="AP1627">
        <v>280</v>
      </c>
      <c r="AR1627" t="str">
        <f t="shared" si="285"/>
        <v>9788928067343</v>
      </c>
      <c r="AT1627" t="str">
        <f t="shared" si="286"/>
        <v>9791137602113</v>
      </c>
      <c r="AV1627" t="str">
        <f t="shared" si="289"/>
        <v>판타지 웹소설 &gt; 현대 판타지</v>
      </c>
    </row>
    <row r="1628" spans="1:48" x14ac:dyDescent="0.4">
      <c r="A1628">
        <v>2313011955</v>
      </c>
      <c r="B1628">
        <v>2313012695</v>
      </c>
      <c r="C1628" t="str">
        <f>T("갓 오브 블랙필드 479화 (외전 60)")</f>
        <v>갓 오브 블랙필드 479화 (외전 60)</v>
      </c>
      <c r="D1628" t="str">
        <f>T("479")</f>
        <v>479</v>
      </c>
      <c r="E1628" t="str">
        <f t="shared" si="288"/>
        <v>무장</v>
      </c>
      <c r="H1628" t="str">
        <f t="shared" si="287"/>
        <v>스토리위즈</v>
      </c>
      <c r="I1628" t="str">
        <f t="shared" si="284"/>
        <v>갓 오브 블랙필드</v>
      </c>
      <c r="J1628">
        <v>100</v>
      </c>
      <c r="K1628">
        <v>400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400</v>
      </c>
      <c r="AH1628">
        <v>4</v>
      </c>
      <c r="AI1628">
        <v>0</v>
      </c>
      <c r="AJ1628">
        <v>0</v>
      </c>
      <c r="AK1628">
        <v>400</v>
      </c>
      <c r="AL1628">
        <v>0</v>
      </c>
      <c r="AM1628">
        <v>0</v>
      </c>
      <c r="AN1628">
        <v>0</v>
      </c>
      <c r="AO1628">
        <v>0</v>
      </c>
      <c r="AP1628">
        <v>280</v>
      </c>
      <c r="AR1628" t="str">
        <f t="shared" si="285"/>
        <v>9788928067343</v>
      </c>
      <c r="AT1628" t="str">
        <f t="shared" si="286"/>
        <v>9791137602113</v>
      </c>
      <c r="AV1628" t="str">
        <f t="shared" si="289"/>
        <v>판타지 웹소설 &gt; 현대 판타지</v>
      </c>
    </row>
    <row r="1629" spans="1:48" x14ac:dyDescent="0.4">
      <c r="A1629">
        <v>2313011955</v>
      </c>
      <c r="B1629">
        <v>2313012696</v>
      </c>
      <c r="C1629" t="str">
        <f>T("갓 오브 블랙필드 480화 (외전 61)")</f>
        <v>갓 오브 블랙필드 480화 (외전 61)</v>
      </c>
      <c r="D1629" t="str">
        <f>T("480")</f>
        <v>480</v>
      </c>
      <c r="E1629" t="str">
        <f t="shared" si="288"/>
        <v>무장</v>
      </c>
      <c r="H1629" t="str">
        <f t="shared" si="287"/>
        <v>스토리위즈</v>
      </c>
      <c r="I1629" t="str">
        <f t="shared" si="284"/>
        <v>갓 오브 블랙필드</v>
      </c>
      <c r="J1629">
        <v>100</v>
      </c>
      <c r="K1629">
        <v>400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400</v>
      </c>
      <c r="AH1629">
        <v>4</v>
      </c>
      <c r="AI1629">
        <v>0</v>
      </c>
      <c r="AJ1629">
        <v>0</v>
      </c>
      <c r="AK1629">
        <v>400</v>
      </c>
      <c r="AL1629">
        <v>0</v>
      </c>
      <c r="AM1629">
        <v>0</v>
      </c>
      <c r="AN1629">
        <v>0</v>
      </c>
      <c r="AO1629">
        <v>0</v>
      </c>
      <c r="AP1629">
        <v>280</v>
      </c>
      <c r="AR1629" t="str">
        <f t="shared" si="285"/>
        <v>9788928067343</v>
      </c>
      <c r="AT1629" t="str">
        <f t="shared" si="286"/>
        <v>9791137602113</v>
      </c>
      <c r="AV1629" t="str">
        <f t="shared" si="289"/>
        <v>판타지 웹소설 &gt; 현대 판타지</v>
      </c>
    </row>
    <row r="1630" spans="1:48" x14ac:dyDescent="0.4">
      <c r="A1630">
        <v>2313011955</v>
      </c>
      <c r="B1630">
        <v>2313012697</v>
      </c>
      <c r="C1630" t="str">
        <f>T("갓 오브 블랙필드 481화 (외전 62)")</f>
        <v>갓 오브 블랙필드 481화 (외전 62)</v>
      </c>
      <c r="D1630" t="str">
        <f>T("481")</f>
        <v>481</v>
      </c>
      <c r="E1630" t="str">
        <f t="shared" si="288"/>
        <v>무장</v>
      </c>
      <c r="H1630" t="str">
        <f t="shared" si="287"/>
        <v>스토리위즈</v>
      </c>
      <c r="I1630" t="str">
        <f t="shared" si="284"/>
        <v>갓 오브 블랙필드</v>
      </c>
      <c r="J1630">
        <v>100</v>
      </c>
      <c r="K1630">
        <v>400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400</v>
      </c>
      <c r="AH1630">
        <v>4</v>
      </c>
      <c r="AI1630">
        <v>0</v>
      </c>
      <c r="AJ1630">
        <v>0</v>
      </c>
      <c r="AK1630">
        <v>400</v>
      </c>
      <c r="AL1630">
        <v>0</v>
      </c>
      <c r="AM1630">
        <v>0</v>
      </c>
      <c r="AN1630">
        <v>0</v>
      </c>
      <c r="AO1630">
        <v>0</v>
      </c>
      <c r="AP1630">
        <v>280</v>
      </c>
      <c r="AR1630" t="str">
        <f t="shared" si="285"/>
        <v>9788928067343</v>
      </c>
      <c r="AT1630" t="str">
        <f t="shared" si="286"/>
        <v>9791137602113</v>
      </c>
      <c r="AV1630" t="str">
        <f t="shared" si="289"/>
        <v>판타지 웹소설 &gt; 현대 판타지</v>
      </c>
    </row>
    <row r="1631" spans="1:48" x14ac:dyDescent="0.4">
      <c r="A1631">
        <v>2313011955</v>
      </c>
      <c r="B1631">
        <v>2313012698</v>
      </c>
      <c r="C1631" t="str">
        <f>T("갓 오브 블랙필드 2부 1화")</f>
        <v>갓 오브 블랙필드 2부 1화</v>
      </c>
      <c r="D1631" t="str">
        <f>T("482")</f>
        <v>482</v>
      </c>
      <c r="E1631" t="str">
        <f t="shared" si="288"/>
        <v>무장</v>
      </c>
      <c r="H1631" t="str">
        <f t="shared" si="287"/>
        <v>스토리위즈</v>
      </c>
      <c r="I1631" t="str">
        <f t="shared" si="284"/>
        <v>갓 오브 블랙필드</v>
      </c>
      <c r="J1631">
        <v>100</v>
      </c>
      <c r="K1631">
        <v>400</v>
      </c>
      <c r="L1631">
        <v>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400</v>
      </c>
      <c r="AH1631">
        <v>4</v>
      </c>
      <c r="AI1631">
        <v>0</v>
      </c>
      <c r="AJ1631">
        <v>0</v>
      </c>
      <c r="AK1631">
        <v>400</v>
      </c>
      <c r="AL1631">
        <v>0</v>
      </c>
      <c r="AM1631">
        <v>0</v>
      </c>
      <c r="AN1631">
        <v>0</v>
      </c>
      <c r="AO1631">
        <v>0</v>
      </c>
      <c r="AP1631">
        <v>280</v>
      </c>
      <c r="AT1631" t="str">
        <f t="shared" si="286"/>
        <v>9791137602113</v>
      </c>
      <c r="AV1631" t="str">
        <f t="shared" si="289"/>
        <v>판타지 웹소설 &gt; 현대 판타지</v>
      </c>
    </row>
    <row r="1632" spans="1:48" x14ac:dyDescent="0.4">
      <c r="A1632">
        <v>2313011955</v>
      </c>
      <c r="B1632">
        <v>2313012699</v>
      </c>
      <c r="C1632" t="str">
        <f>T("갓 오브 블랙필드 2부 2화")</f>
        <v>갓 오브 블랙필드 2부 2화</v>
      </c>
      <c r="D1632" t="str">
        <f>T("483")</f>
        <v>483</v>
      </c>
      <c r="E1632" t="str">
        <f t="shared" si="288"/>
        <v>무장</v>
      </c>
      <c r="H1632" t="str">
        <f t="shared" si="287"/>
        <v>스토리위즈</v>
      </c>
      <c r="I1632" t="str">
        <f t="shared" si="284"/>
        <v>갓 오브 블랙필드</v>
      </c>
      <c r="J1632">
        <v>100</v>
      </c>
      <c r="K1632">
        <v>400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400</v>
      </c>
      <c r="AH1632">
        <v>4</v>
      </c>
      <c r="AI1632">
        <v>0</v>
      </c>
      <c r="AJ1632">
        <v>0</v>
      </c>
      <c r="AK1632">
        <v>400</v>
      </c>
      <c r="AL1632">
        <v>0</v>
      </c>
      <c r="AM1632">
        <v>0</v>
      </c>
      <c r="AN1632">
        <v>0</v>
      </c>
      <c r="AO1632">
        <v>0</v>
      </c>
      <c r="AP1632">
        <v>280</v>
      </c>
      <c r="AT1632" t="str">
        <f t="shared" si="286"/>
        <v>9791137602113</v>
      </c>
      <c r="AV1632" t="str">
        <f t="shared" si="289"/>
        <v>판타지 웹소설 &gt; 현대 판타지</v>
      </c>
    </row>
    <row r="1633" spans="1:48" x14ac:dyDescent="0.4">
      <c r="A1633">
        <v>2313011955</v>
      </c>
      <c r="B1633">
        <v>2313012700</v>
      </c>
      <c r="C1633" t="str">
        <f>T("갓 오브 블랙필드 2부 3화")</f>
        <v>갓 오브 블랙필드 2부 3화</v>
      </c>
      <c r="D1633" t="str">
        <f>T("484")</f>
        <v>484</v>
      </c>
      <c r="E1633" t="str">
        <f t="shared" si="288"/>
        <v>무장</v>
      </c>
      <c r="H1633" t="str">
        <f t="shared" si="287"/>
        <v>스토리위즈</v>
      </c>
      <c r="I1633" t="str">
        <f t="shared" si="284"/>
        <v>갓 오브 블랙필드</v>
      </c>
      <c r="J1633">
        <v>100</v>
      </c>
      <c r="K1633">
        <v>400</v>
      </c>
      <c r="L1633">
        <v>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400</v>
      </c>
      <c r="AH1633">
        <v>4</v>
      </c>
      <c r="AI1633">
        <v>0</v>
      </c>
      <c r="AJ1633">
        <v>0</v>
      </c>
      <c r="AK1633">
        <v>400</v>
      </c>
      <c r="AL1633">
        <v>0</v>
      </c>
      <c r="AM1633">
        <v>0</v>
      </c>
      <c r="AN1633">
        <v>0</v>
      </c>
      <c r="AO1633">
        <v>0</v>
      </c>
      <c r="AP1633">
        <v>280</v>
      </c>
      <c r="AT1633" t="str">
        <f t="shared" si="286"/>
        <v>9791137602113</v>
      </c>
      <c r="AV1633" t="str">
        <f t="shared" si="289"/>
        <v>판타지 웹소설 &gt; 현대 판타지</v>
      </c>
    </row>
    <row r="1634" spans="1:48" x14ac:dyDescent="0.4">
      <c r="A1634">
        <v>2313011955</v>
      </c>
      <c r="B1634">
        <v>2313012701</v>
      </c>
      <c r="C1634" t="str">
        <f>T("갓 오브 블랙필드 2부 4화")</f>
        <v>갓 오브 블랙필드 2부 4화</v>
      </c>
      <c r="D1634" t="str">
        <f>T("485")</f>
        <v>485</v>
      </c>
      <c r="E1634" t="str">
        <f t="shared" si="288"/>
        <v>무장</v>
      </c>
      <c r="H1634" t="str">
        <f t="shared" si="287"/>
        <v>스토리위즈</v>
      </c>
      <c r="I1634" t="str">
        <f t="shared" si="284"/>
        <v>갓 오브 블랙필드</v>
      </c>
      <c r="J1634">
        <v>100</v>
      </c>
      <c r="K1634">
        <v>400</v>
      </c>
      <c r="L1634">
        <v>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400</v>
      </c>
      <c r="AH1634">
        <v>4</v>
      </c>
      <c r="AI1634">
        <v>0</v>
      </c>
      <c r="AJ1634">
        <v>0</v>
      </c>
      <c r="AK1634">
        <v>400</v>
      </c>
      <c r="AL1634">
        <v>0</v>
      </c>
      <c r="AM1634">
        <v>0</v>
      </c>
      <c r="AN1634">
        <v>0</v>
      </c>
      <c r="AO1634">
        <v>0</v>
      </c>
      <c r="AP1634">
        <v>280</v>
      </c>
      <c r="AT1634" t="str">
        <f t="shared" si="286"/>
        <v>9791137602113</v>
      </c>
      <c r="AV1634" t="str">
        <f t="shared" si="289"/>
        <v>판타지 웹소설 &gt; 현대 판타지</v>
      </c>
    </row>
    <row r="1635" spans="1:48" x14ac:dyDescent="0.4">
      <c r="A1635">
        <v>2313011955</v>
      </c>
      <c r="B1635">
        <v>2313012702</v>
      </c>
      <c r="C1635" t="str">
        <f>T("갓 오브 블랙필드 2부 5화")</f>
        <v>갓 오브 블랙필드 2부 5화</v>
      </c>
      <c r="D1635" t="str">
        <f>T("486")</f>
        <v>486</v>
      </c>
      <c r="E1635" t="str">
        <f t="shared" si="288"/>
        <v>무장</v>
      </c>
      <c r="H1635" t="str">
        <f t="shared" si="287"/>
        <v>스토리위즈</v>
      </c>
      <c r="I1635" t="str">
        <f t="shared" si="284"/>
        <v>갓 오브 블랙필드</v>
      </c>
      <c r="J1635">
        <v>100</v>
      </c>
      <c r="K1635">
        <v>400</v>
      </c>
      <c r="L1635">
        <v>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400</v>
      </c>
      <c r="AH1635">
        <v>4</v>
      </c>
      <c r="AI1635">
        <v>0</v>
      </c>
      <c r="AJ1635">
        <v>0</v>
      </c>
      <c r="AK1635">
        <v>400</v>
      </c>
      <c r="AL1635">
        <v>0</v>
      </c>
      <c r="AM1635">
        <v>0</v>
      </c>
      <c r="AN1635">
        <v>0</v>
      </c>
      <c r="AO1635">
        <v>0</v>
      </c>
      <c r="AP1635">
        <v>280</v>
      </c>
      <c r="AT1635" t="str">
        <f t="shared" si="286"/>
        <v>9791137602113</v>
      </c>
      <c r="AV1635" t="str">
        <f t="shared" si="289"/>
        <v>판타지 웹소설 &gt; 현대 판타지</v>
      </c>
    </row>
    <row r="1636" spans="1:48" x14ac:dyDescent="0.4">
      <c r="A1636">
        <v>2313011955</v>
      </c>
      <c r="B1636">
        <v>2313012703</v>
      </c>
      <c r="C1636" t="str">
        <f>T("갓 오브 블랙필드 2부 6화")</f>
        <v>갓 오브 블랙필드 2부 6화</v>
      </c>
      <c r="D1636" t="str">
        <f>T("487")</f>
        <v>487</v>
      </c>
      <c r="E1636" t="str">
        <f t="shared" si="288"/>
        <v>무장</v>
      </c>
      <c r="H1636" t="str">
        <f t="shared" si="287"/>
        <v>스토리위즈</v>
      </c>
      <c r="I1636" t="str">
        <f t="shared" ref="I1636:I1699" si="290">T("갓 오브 블랙필드")</f>
        <v>갓 오브 블랙필드</v>
      </c>
      <c r="J1636">
        <v>100</v>
      </c>
      <c r="K1636">
        <v>400</v>
      </c>
      <c r="L1636">
        <v>4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400</v>
      </c>
      <c r="AH1636">
        <v>4</v>
      </c>
      <c r="AI1636">
        <v>0</v>
      </c>
      <c r="AJ1636">
        <v>0</v>
      </c>
      <c r="AK1636">
        <v>400</v>
      </c>
      <c r="AL1636">
        <v>0</v>
      </c>
      <c r="AM1636">
        <v>0</v>
      </c>
      <c r="AN1636">
        <v>0</v>
      </c>
      <c r="AO1636">
        <v>0</v>
      </c>
      <c r="AP1636">
        <v>280</v>
      </c>
      <c r="AT1636" t="str">
        <f t="shared" ref="AT1636:AT1699" si="291">T("9791137602113")</f>
        <v>9791137602113</v>
      </c>
      <c r="AV1636" t="str">
        <f t="shared" si="289"/>
        <v>판타지 웹소설 &gt; 현대 판타지</v>
      </c>
    </row>
    <row r="1637" spans="1:48" x14ac:dyDescent="0.4">
      <c r="A1637">
        <v>2313011955</v>
      </c>
      <c r="B1637">
        <v>2313012704</v>
      </c>
      <c r="C1637" t="str">
        <f>T("갓 오브 블랙필드 2부 7화")</f>
        <v>갓 오브 블랙필드 2부 7화</v>
      </c>
      <c r="D1637" t="str">
        <f>T("488")</f>
        <v>488</v>
      </c>
      <c r="E1637" t="str">
        <f t="shared" si="288"/>
        <v>무장</v>
      </c>
      <c r="H1637" t="str">
        <f t="shared" si="287"/>
        <v>스토리위즈</v>
      </c>
      <c r="I1637" t="str">
        <f t="shared" si="290"/>
        <v>갓 오브 블랙필드</v>
      </c>
      <c r="J1637">
        <v>100</v>
      </c>
      <c r="K1637">
        <v>400</v>
      </c>
      <c r="L1637">
        <v>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400</v>
      </c>
      <c r="AH1637">
        <v>4</v>
      </c>
      <c r="AI1637">
        <v>0</v>
      </c>
      <c r="AJ1637">
        <v>0</v>
      </c>
      <c r="AK1637">
        <v>400</v>
      </c>
      <c r="AL1637">
        <v>0</v>
      </c>
      <c r="AM1637">
        <v>0</v>
      </c>
      <c r="AN1637">
        <v>0</v>
      </c>
      <c r="AO1637">
        <v>0</v>
      </c>
      <c r="AP1637">
        <v>280</v>
      </c>
      <c r="AT1637" t="str">
        <f t="shared" si="291"/>
        <v>9791137602113</v>
      </c>
      <c r="AV1637" t="str">
        <f t="shared" si="289"/>
        <v>판타지 웹소설 &gt; 현대 판타지</v>
      </c>
    </row>
    <row r="1638" spans="1:48" x14ac:dyDescent="0.4">
      <c r="A1638">
        <v>2313011955</v>
      </c>
      <c r="B1638">
        <v>2313012705</v>
      </c>
      <c r="C1638" t="str">
        <f>T("갓 오브 블랙필드 2부 8화")</f>
        <v>갓 오브 블랙필드 2부 8화</v>
      </c>
      <c r="D1638" t="str">
        <f>T("489")</f>
        <v>489</v>
      </c>
      <c r="E1638" t="str">
        <f t="shared" si="288"/>
        <v>무장</v>
      </c>
      <c r="H1638" t="str">
        <f t="shared" si="287"/>
        <v>스토리위즈</v>
      </c>
      <c r="I1638" t="str">
        <f t="shared" si="290"/>
        <v>갓 오브 블랙필드</v>
      </c>
      <c r="J1638">
        <v>100</v>
      </c>
      <c r="K1638">
        <v>400</v>
      </c>
      <c r="L1638">
        <v>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400</v>
      </c>
      <c r="AH1638">
        <v>4</v>
      </c>
      <c r="AI1638">
        <v>0</v>
      </c>
      <c r="AJ1638">
        <v>0</v>
      </c>
      <c r="AK1638">
        <v>400</v>
      </c>
      <c r="AL1638">
        <v>0</v>
      </c>
      <c r="AM1638">
        <v>0</v>
      </c>
      <c r="AN1638">
        <v>0</v>
      </c>
      <c r="AO1638">
        <v>0</v>
      </c>
      <c r="AP1638">
        <v>280</v>
      </c>
      <c r="AT1638" t="str">
        <f t="shared" si="291"/>
        <v>9791137602113</v>
      </c>
      <c r="AV1638" t="str">
        <f t="shared" si="289"/>
        <v>판타지 웹소설 &gt; 현대 판타지</v>
      </c>
    </row>
    <row r="1639" spans="1:48" x14ac:dyDescent="0.4">
      <c r="A1639">
        <v>2313011955</v>
      </c>
      <c r="B1639">
        <v>2313012706</v>
      </c>
      <c r="C1639" t="str">
        <f>T("갓 오브 블랙필드 2부 9화")</f>
        <v>갓 오브 블랙필드 2부 9화</v>
      </c>
      <c r="D1639" t="str">
        <f>T("490")</f>
        <v>490</v>
      </c>
      <c r="E1639" t="str">
        <f t="shared" si="288"/>
        <v>무장</v>
      </c>
      <c r="H1639" t="str">
        <f t="shared" si="287"/>
        <v>스토리위즈</v>
      </c>
      <c r="I1639" t="str">
        <f t="shared" si="290"/>
        <v>갓 오브 블랙필드</v>
      </c>
      <c r="J1639">
        <v>100</v>
      </c>
      <c r="K1639">
        <v>400</v>
      </c>
      <c r="L1639">
        <v>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400</v>
      </c>
      <c r="AH1639">
        <v>4</v>
      </c>
      <c r="AI1639">
        <v>0</v>
      </c>
      <c r="AJ1639">
        <v>0</v>
      </c>
      <c r="AK1639">
        <v>400</v>
      </c>
      <c r="AL1639">
        <v>0</v>
      </c>
      <c r="AM1639">
        <v>0</v>
      </c>
      <c r="AN1639">
        <v>0</v>
      </c>
      <c r="AO1639">
        <v>0</v>
      </c>
      <c r="AP1639">
        <v>280</v>
      </c>
      <c r="AT1639" t="str">
        <f t="shared" si="291"/>
        <v>9791137602113</v>
      </c>
      <c r="AV1639" t="str">
        <f t="shared" si="289"/>
        <v>판타지 웹소설 &gt; 현대 판타지</v>
      </c>
    </row>
    <row r="1640" spans="1:48" x14ac:dyDescent="0.4">
      <c r="A1640">
        <v>2313011955</v>
      </c>
      <c r="B1640">
        <v>2313012707</v>
      </c>
      <c r="C1640" t="str">
        <f>T("갓 오브 블랙필드 2부 10화")</f>
        <v>갓 오브 블랙필드 2부 10화</v>
      </c>
      <c r="D1640" t="str">
        <f>T("491")</f>
        <v>491</v>
      </c>
      <c r="E1640" t="str">
        <f t="shared" si="288"/>
        <v>무장</v>
      </c>
      <c r="H1640" t="str">
        <f t="shared" si="287"/>
        <v>스토리위즈</v>
      </c>
      <c r="I1640" t="str">
        <f t="shared" si="290"/>
        <v>갓 오브 블랙필드</v>
      </c>
      <c r="J1640">
        <v>100</v>
      </c>
      <c r="K1640">
        <v>400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400</v>
      </c>
      <c r="AH1640">
        <v>4</v>
      </c>
      <c r="AI1640">
        <v>0</v>
      </c>
      <c r="AJ1640">
        <v>0</v>
      </c>
      <c r="AK1640">
        <v>400</v>
      </c>
      <c r="AL1640">
        <v>0</v>
      </c>
      <c r="AM1640">
        <v>0</v>
      </c>
      <c r="AN1640">
        <v>0</v>
      </c>
      <c r="AO1640">
        <v>0</v>
      </c>
      <c r="AP1640">
        <v>280</v>
      </c>
      <c r="AT1640" t="str">
        <f t="shared" si="291"/>
        <v>9791137602113</v>
      </c>
      <c r="AV1640" t="str">
        <f t="shared" si="289"/>
        <v>판타지 웹소설 &gt; 현대 판타지</v>
      </c>
    </row>
    <row r="1641" spans="1:48" x14ac:dyDescent="0.4">
      <c r="A1641">
        <v>2313011955</v>
      </c>
      <c r="B1641">
        <v>2313012708</v>
      </c>
      <c r="C1641" t="str">
        <f>T("갓 오브 블랙필드 2부 11화")</f>
        <v>갓 오브 블랙필드 2부 11화</v>
      </c>
      <c r="D1641" t="str">
        <f>T("492")</f>
        <v>492</v>
      </c>
      <c r="E1641" t="str">
        <f t="shared" si="288"/>
        <v>무장</v>
      </c>
      <c r="H1641" t="str">
        <f t="shared" si="287"/>
        <v>스토리위즈</v>
      </c>
      <c r="I1641" t="str">
        <f t="shared" si="290"/>
        <v>갓 오브 블랙필드</v>
      </c>
      <c r="J1641">
        <v>100</v>
      </c>
      <c r="K1641">
        <v>400</v>
      </c>
      <c r="L1641">
        <v>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400</v>
      </c>
      <c r="AH1641">
        <v>4</v>
      </c>
      <c r="AI1641">
        <v>0</v>
      </c>
      <c r="AJ1641">
        <v>0</v>
      </c>
      <c r="AK1641">
        <v>400</v>
      </c>
      <c r="AL1641">
        <v>0</v>
      </c>
      <c r="AM1641">
        <v>0</v>
      </c>
      <c r="AN1641">
        <v>0</v>
      </c>
      <c r="AO1641">
        <v>0</v>
      </c>
      <c r="AP1641">
        <v>280</v>
      </c>
      <c r="AT1641" t="str">
        <f t="shared" si="291"/>
        <v>9791137602113</v>
      </c>
      <c r="AV1641" t="str">
        <f t="shared" si="289"/>
        <v>판타지 웹소설 &gt; 현대 판타지</v>
      </c>
    </row>
    <row r="1642" spans="1:48" x14ac:dyDescent="0.4">
      <c r="A1642">
        <v>2313011955</v>
      </c>
      <c r="B1642">
        <v>2313012709</v>
      </c>
      <c r="C1642" t="str">
        <f>T("갓 오브 블랙필드 2부 12화")</f>
        <v>갓 오브 블랙필드 2부 12화</v>
      </c>
      <c r="D1642" t="str">
        <f>T("493")</f>
        <v>493</v>
      </c>
      <c r="E1642" t="str">
        <f t="shared" si="288"/>
        <v>무장</v>
      </c>
      <c r="H1642" t="str">
        <f t="shared" si="287"/>
        <v>스토리위즈</v>
      </c>
      <c r="I1642" t="str">
        <f t="shared" si="290"/>
        <v>갓 오브 블랙필드</v>
      </c>
      <c r="J1642">
        <v>100</v>
      </c>
      <c r="K1642">
        <v>400</v>
      </c>
      <c r="L1642">
        <v>4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400</v>
      </c>
      <c r="AH1642">
        <v>4</v>
      </c>
      <c r="AI1642">
        <v>0</v>
      </c>
      <c r="AJ1642">
        <v>0</v>
      </c>
      <c r="AK1642">
        <v>400</v>
      </c>
      <c r="AL1642">
        <v>0</v>
      </c>
      <c r="AM1642">
        <v>0</v>
      </c>
      <c r="AN1642">
        <v>0</v>
      </c>
      <c r="AO1642">
        <v>0</v>
      </c>
      <c r="AP1642">
        <v>280</v>
      </c>
      <c r="AT1642" t="str">
        <f t="shared" si="291"/>
        <v>9791137602113</v>
      </c>
      <c r="AV1642" t="str">
        <f t="shared" si="289"/>
        <v>판타지 웹소설 &gt; 현대 판타지</v>
      </c>
    </row>
    <row r="1643" spans="1:48" x14ac:dyDescent="0.4">
      <c r="A1643">
        <v>2313011955</v>
      </c>
      <c r="B1643">
        <v>2313012710</v>
      </c>
      <c r="C1643" t="str">
        <f>T("갓 오브 블랙필드 2부 13화")</f>
        <v>갓 오브 블랙필드 2부 13화</v>
      </c>
      <c r="D1643" t="str">
        <f>T("494")</f>
        <v>494</v>
      </c>
      <c r="E1643" t="str">
        <f t="shared" si="288"/>
        <v>무장</v>
      </c>
      <c r="H1643" t="str">
        <f t="shared" si="287"/>
        <v>스토리위즈</v>
      </c>
      <c r="I1643" t="str">
        <f t="shared" si="290"/>
        <v>갓 오브 블랙필드</v>
      </c>
      <c r="J1643">
        <v>100</v>
      </c>
      <c r="K1643">
        <v>400</v>
      </c>
      <c r="L1643">
        <v>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400</v>
      </c>
      <c r="AH1643">
        <v>4</v>
      </c>
      <c r="AI1643">
        <v>0</v>
      </c>
      <c r="AJ1643">
        <v>0</v>
      </c>
      <c r="AK1643">
        <v>400</v>
      </c>
      <c r="AL1643">
        <v>0</v>
      </c>
      <c r="AM1643">
        <v>0</v>
      </c>
      <c r="AN1643">
        <v>0</v>
      </c>
      <c r="AO1643">
        <v>0</v>
      </c>
      <c r="AP1643">
        <v>280</v>
      </c>
      <c r="AT1643" t="str">
        <f t="shared" si="291"/>
        <v>9791137602113</v>
      </c>
      <c r="AV1643" t="str">
        <f t="shared" si="289"/>
        <v>판타지 웹소설 &gt; 현대 판타지</v>
      </c>
    </row>
    <row r="1644" spans="1:48" x14ac:dyDescent="0.4">
      <c r="A1644">
        <v>2313011955</v>
      </c>
      <c r="B1644">
        <v>2313012711</v>
      </c>
      <c r="C1644" t="str">
        <f>T("갓 오브 블랙필드 2부 14화")</f>
        <v>갓 오브 블랙필드 2부 14화</v>
      </c>
      <c r="D1644" t="str">
        <f>T("495")</f>
        <v>495</v>
      </c>
      <c r="E1644" t="str">
        <f t="shared" si="288"/>
        <v>무장</v>
      </c>
      <c r="H1644" t="str">
        <f t="shared" si="287"/>
        <v>스토리위즈</v>
      </c>
      <c r="I1644" t="str">
        <f t="shared" si="290"/>
        <v>갓 오브 블랙필드</v>
      </c>
      <c r="J1644">
        <v>100</v>
      </c>
      <c r="K1644">
        <v>400</v>
      </c>
      <c r="L1644">
        <v>4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400</v>
      </c>
      <c r="AH1644">
        <v>4</v>
      </c>
      <c r="AI1644">
        <v>0</v>
      </c>
      <c r="AJ1644">
        <v>0</v>
      </c>
      <c r="AK1644">
        <v>400</v>
      </c>
      <c r="AL1644">
        <v>0</v>
      </c>
      <c r="AM1644">
        <v>0</v>
      </c>
      <c r="AN1644">
        <v>0</v>
      </c>
      <c r="AO1644">
        <v>0</v>
      </c>
      <c r="AP1644">
        <v>280</v>
      </c>
      <c r="AT1644" t="str">
        <f t="shared" si="291"/>
        <v>9791137602113</v>
      </c>
      <c r="AV1644" t="str">
        <f t="shared" si="289"/>
        <v>판타지 웹소설 &gt; 현대 판타지</v>
      </c>
    </row>
    <row r="1645" spans="1:48" x14ac:dyDescent="0.4">
      <c r="A1645">
        <v>2313011955</v>
      </c>
      <c r="B1645">
        <v>2313012712</v>
      </c>
      <c r="C1645" t="str">
        <f>T("갓 오브 블랙필드 2부 15화")</f>
        <v>갓 오브 블랙필드 2부 15화</v>
      </c>
      <c r="D1645" t="str">
        <f>T("496")</f>
        <v>496</v>
      </c>
      <c r="E1645" t="str">
        <f t="shared" si="288"/>
        <v>무장</v>
      </c>
      <c r="H1645" t="str">
        <f t="shared" si="287"/>
        <v>스토리위즈</v>
      </c>
      <c r="I1645" t="str">
        <f t="shared" si="290"/>
        <v>갓 오브 블랙필드</v>
      </c>
      <c r="J1645">
        <v>100</v>
      </c>
      <c r="K1645">
        <v>400</v>
      </c>
      <c r="L1645">
        <v>4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400</v>
      </c>
      <c r="AH1645">
        <v>4</v>
      </c>
      <c r="AI1645">
        <v>0</v>
      </c>
      <c r="AJ1645">
        <v>0</v>
      </c>
      <c r="AK1645">
        <v>400</v>
      </c>
      <c r="AL1645">
        <v>0</v>
      </c>
      <c r="AM1645">
        <v>0</v>
      </c>
      <c r="AN1645">
        <v>0</v>
      </c>
      <c r="AO1645">
        <v>0</v>
      </c>
      <c r="AP1645">
        <v>280</v>
      </c>
      <c r="AT1645" t="str">
        <f t="shared" si="291"/>
        <v>9791137602113</v>
      </c>
      <c r="AV1645" t="str">
        <f t="shared" si="289"/>
        <v>판타지 웹소설 &gt; 현대 판타지</v>
      </c>
    </row>
    <row r="1646" spans="1:48" x14ac:dyDescent="0.4">
      <c r="A1646">
        <v>2313011955</v>
      </c>
      <c r="B1646">
        <v>2313012713</v>
      </c>
      <c r="C1646" t="str">
        <f>T("갓 오브 블랙필드 2부 16화")</f>
        <v>갓 오브 블랙필드 2부 16화</v>
      </c>
      <c r="D1646" t="str">
        <f>T("497")</f>
        <v>497</v>
      </c>
      <c r="E1646" t="str">
        <f t="shared" si="288"/>
        <v>무장</v>
      </c>
      <c r="H1646" t="str">
        <f t="shared" si="287"/>
        <v>스토리위즈</v>
      </c>
      <c r="I1646" t="str">
        <f t="shared" si="290"/>
        <v>갓 오브 블랙필드</v>
      </c>
      <c r="J1646">
        <v>100</v>
      </c>
      <c r="K1646">
        <v>400</v>
      </c>
      <c r="L1646">
        <v>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400</v>
      </c>
      <c r="AH1646">
        <v>4</v>
      </c>
      <c r="AI1646">
        <v>0</v>
      </c>
      <c r="AJ1646">
        <v>0</v>
      </c>
      <c r="AK1646">
        <v>400</v>
      </c>
      <c r="AL1646">
        <v>0</v>
      </c>
      <c r="AM1646">
        <v>0</v>
      </c>
      <c r="AN1646">
        <v>0</v>
      </c>
      <c r="AO1646">
        <v>0</v>
      </c>
      <c r="AP1646">
        <v>280</v>
      </c>
      <c r="AT1646" t="str">
        <f t="shared" si="291"/>
        <v>9791137602113</v>
      </c>
      <c r="AV1646" t="str">
        <f t="shared" si="289"/>
        <v>판타지 웹소설 &gt; 현대 판타지</v>
      </c>
    </row>
    <row r="1647" spans="1:48" x14ac:dyDescent="0.4">
      <c r="A1647">
        <v>2313011955</v>
      </c>
      <c r="B1647">
        <v>2313012714</v>
      </c>
      <c r="C1647" t="str">
        <f>T("갓 오브 블랙필드 2부 17화")</f>
        <v>갓 오브 블랙필드 2부 17화</v>
      </c>
      <c r="D1647" t="str">
        <f>T("498")</f>
        <v>498</v>
      </c>
      <c r="E1647" t="str">
        <f t="shared" si="288"/>
        <v>무장</v>
      </c>
      <c r="H1647" t="str">
        <f t="shared" si="287"/>
        <v>스토리위즈</v>
      </c>
      <c r="I1647" t="str">
        <f t="shared" si="290"/>
        <v>갓 오브 블랙필드</v>
      </c>
      <c r="J1647">
        <v>100</v>
      </c>
      <c r="K1647">
        <v>400</v>
      </c>
      <c r="L1647">
        <v>4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400</v>
      </c>
      <c r="AH1647">
        <v>4</v>
      </c>
      <c r="AI1647">
        <v>0</v>
      </c>
      <c r="AJ1647">
        <v>0</v>
      </c>
      <c r="AK1647">
        <v>400</v>
      </c>
      <c r="AL1647">
        <v>0</v>
      </c>
      <c r="AM1647">
        <v>0</v>
      </c>
      <c r="AN1647">
        <v>0</v>
      </c>
      <c r="AO1647">
        <v>0</v>
      </c>
      <c r="AP1647">
        <v>280</v>
      </c>
      <c r="AT1647" t="str">
        <f t="shared" si="291"/>
        <v>9791137602113</v>
      </c>
      <c r="AV1647" t="str">
        <f t="shared" si="289"/>
        <v>판타지 웹소설 &gt; 현대 판타지</v>
      </c>
    </row>
    <row r="1648" spans="1:48" x14ac:dyDescent="0.4">
      <c r="A1648">
        <v>2313011955</v>
      </c>
      <c r="B1648">
        <v>2313012715</v>
      </c>
      <c r="C1648" t="str">
        <f>T("갓 오브 블랙필드 2부 18화")</f>
        <v>갓 오브 블랙필드 2부 18화</v>
      </c>
      <c r="D1648" t="str">
        <f>T("499")</f>
        <v>499</v>
      </c>
      <c r="E1648" t="str">
        <f t="shared" si="288"/>
        <v>무장</v>
      </c>
      <c r="H1648" t="str">
        <f t="shared" si="287"/>
        <v>스토리위즈</v>
      </c>
      <c r="I1648" t="str">
        <f t="shared" si="290"/>
        <v>갓 오브 블랙필드</v>
      </c>
      <c r="J1648">
        <v>100</v>
      </c>
      <c r="K1648">
        <v>400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400</v>
      </c>
      <c r="AH1648">
        <v>4</v>
      </c>
      <c r="AI1648">
        <v>0</v>
      </c>
      <c r="AJ1648">
        <v>0</v>
      </c>
      <c r="AK1648">
        <v>400</v>
      </c>
      <c r="AL1648">
        <v>0</v>
      </c>
      <c r="AM1648">
        <v>0</v>
      </c>
      <c r="AN1648">
        <v>0</v>
      </c>
      <c r="AO1648">
        <v>0</v>
      </c>
      <c r="AP1648">
        <v>280</v>
      </c>
      <c r="AT1648" t="str">
        <f t="shared" si="291"/>
        <v>9791137602113</v>
      </c>
      <c r="AV1648" t="str">
        <f t="shared" si="289"/>
        <v>판타지 웹소설 &gt; 현대 판타지</v>
      </c>
    </row>
    <row r="1649" spans="1:48" x14ac:dyDescent="0.4">
      <c r="A1649">
        <v>2313011955</v>
      </c>
      <c r="B1649">
        <v>2313012716</v>
      </c>
      <c r="C1649" t="str">
        <f>T("갓 오브 블랙필드 2부 19화")</f>
        <v>갓 오브 블랙필드 2부 19화</v>
      </c>
      <c r="D1649" t="str">
        <f>T("500")</f>
        <v>500</v>
      </c>
      <c r="E1649" t="str">
        <f t="shared" si="288"/>
        <v>무장</v>
      </c>
      <c r="H1649" t="str">
        <f t="shared" si="287"/>
        <v>스토리위즈</v>
      </c>
      <c r="I1649" t="str">
        <f t="shared" si="290"/>
        <v>갓 오브 블랙필드</v>
      </c>
      <c r="J1649">
        <v>100</v>
      </c>
      <c r="K1649">
        <v>400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400</v>
      </c>
      <c r="AH1649">
        <v>4</v>
      </c>
      <c r="AI1649">
        <v>0</v>
      </c>
      <c r="AJ1649">
        <v>0</v>
      </c>
      <c r="AK1649">
        <v>400</v>
      </c>
      <c r="AL1649">
        <v>0</v>
      </c>
      <c r="AM1649">
        <v>0</v>
      </c>
      <c r="AN1649">
        <v>0</v>
      </c>
      <c r="AO1649">
        <v>0</v>
      </c>
      <c r="AP1649">
        <v>280</v>
      </c>
      <c r="AT1649" t="str">
        <f t="shared" si="291"/>
        <v>9791137602113</v>
      </c>
      <c r="AV1649" t="str">
        <f t="shared" si="289"/>
        <v>판타지 웹소설 &gt; 현대 판타지</v>
      </c>
    </row>
    <row r="1650" spans="1:48" x14ac:dyDescent="0.4">
      <c r="A1650">
        <v>2313011955</v>
      </c>
      <c r="B1650">
        <v>2313012717</v>
      </c>
      <c r="C1650" t="str">
        <f>T("갓 오브 블랙필드 2부 20화")</f>
        <v>갓 오브 블랙필드 2부 20화</v>
      </c>
      <c r="D1650" t="str">
        <f>T("501")</f>
        <v>501</v>
      </c>
      <c r="E1650" t="str">
        <f t="shared" si="288"/>
        <v>무장</v>
      </c>
      <c r="H1650" t="str">
        <f t="shared" si="287"/>
        <v>스토리위즈</v>
      </c>
      <c r="I1650" t="str">
        <f t="shared" si="290"/>
        <v>갓 오브 블랙필드</v>
      </c>
      <c r="J1650">
        <v>100</v>
      </c>
      <c r="K1650">
        <v>400</v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400</v>
      </c>
      <c r="AH1650">
        <v>4</v>
      </c>
      <c r="AI1650">
        <v>0</v>
      </c>
      <c r="AJ1650">
        <v>0</v>
      </c>
      <c r="AK1650">
        <v>400</v>
      </c>
      <c r="AL1650">
        <v>0</v>
      </c>
      <c r="AM1650">
        <v>0</v>
      </c>
      <c r="AN1650">
        <v>0</v>
      </c>
      <c r="AO1650">
        <v>0</v>
      </c>
      <c r="AP1650">
        <v>280</v>
      </c>
      <c r="AT1650" t="str">
        <f t="shared" si="291"/>
        <v>9791137602113</v>
      </c>
      <c r="AV1650" t="str">
        <f t="shared" si="289"/>
        <v>판타지 웹소설 &gt; 현대 판타지</v>
      </c>
    </row>
    <row r="1651" spans="1:48" x14ac:dyDescent="0.4">
      <c r="A1651">
        <v>2313011955</v>
      </c>
      <c r="B1651">
        <v>2313012718</v>
      </c>
      <c r="C1651" t="str">
        <f>T("갓 오브 블랙필드 2부 21화")</f>
        <v>갓 오브 블랙필드 2부 21화</v>
      </c>
      <c r="D1651" t="str">
        <f>T("502")</f>
        <v>502</v>
      </c>
      <c r="E1651" t="str">
        <f t="shared" si="288"/>
        <v>무장</v>
      </c>
      <c r="H1651" t="str">
        <f t="shared" si="287"/>
        <v>스토리위즈</v>
      </c>
      <c r="I1651" t="str">
        <f t="shared" si="290"/>
        <v>갓 오브 블랙필드</v>
      </c>
      <c r="J1651">
        <v>100</v>
      </c>
      <c r="K1651">
        <v>400</v>
      </c>
      <c r="L1651">
        <v>4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400</v>
      </c>
      <c r="AH1651">
        <v>4</v>
      </c>
      <c r="AI1651">
        <v>0</v>
      </c>
      <c r="AJ1651">
        <v>0</v>
      </c>
      <c r="AK1651">
        <v>400</v>
      </c>
      <c r="AL1651">
        <v>0</v>
      </c>
      <c r="AM1651">
        <v>0</v>
      </c>
      <c r="AN1651">
        <v>0</v>
      </c>
      <c r="AO1651">
        <v>0</v>
      </c>
      <c r="AP1651">
        <v>280</v>
      </c>
      <c r="AT1651" t="str">
        <f t="shared" si="291"/>
        <v>9791137602113</v>
      </c>
      <c r="AV1651" t="str">
        <f t="shared" si="289"/>
        <v>판타지 웹소설 &gt; 현대 판타지</v>
      </c>
    </row>
    <row r="1652" spans="1:48" x14ac:dyDescent="0.4">
      <c r="A1652">
        <v>2313011955</v>
      </c>
      <c r="B1652">
        <v>2313012719</v>
      </c>
      <c r="C1652" t="str">
        <f>T("갓 오브 블랙필드 2부 22화")</f>
        <v>갓 오브 블랙필드 2부 22화</v>
      </c>
      <c r="D1652" t="str">
        <f>T("503")</f>
        <v>503</v>
      </c>
      <c r="E1652" t="str">
        <f t="shared" si="288"/>
        <v>무장</v>
      </c>
      <c r="H1652" t="str">
        <f t="shared" si="287"/>
        <v>스토리위즈</v>
      </c>
      <c r="I1652" t="str">
        <f t="shared" si="290"/>
        <v>갓 오브 블랙필드</v>
      </c>
      <c r="J1652">
        <v>100</v>
      </c>
      <c r="K1652">
        <v>400</v>
      </c>
      <c r="L1652">
        <v>4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400</v>
      </c>
      <c r="AH1652">
        <v>4</v>
      </c>
      <c r="AI1652">
        <v>0</v>
      </c>
      <c r="AJ1652">
        <v>0</v>
      </c>
      <c r="AK1652">
        <v>400</v>
      </c>
      <c r="AL1652">
        <v>0</v>
      </c>
      <c r="AM1652">
        <v>0</v>
      </c>
      <c r="AN1652">
        <v>0</v>
      </c>
      <c r="AO1652">
        <v>0</v>
      </c>
      <c r="AP1652">
        <v>280</v>
      </c>
      <c r="AT1652" t="str">
        <f t="shared" si="291"/>
        <v>9791137602113</v>
      </c>
      <c r="AV1652" t="str">
        <f t="shared" si="289"/>
        <v>판타지 웹소설 &gt; 현대 판타지</v>
      </c>
    </row>
    <row r="1653" spans="1:48" x14ac:dyDescent="0.4">
      <c r="A1653">
        <v>2313011955</v>
      </c>
      <c r="B1653">
        <v>2313012720</v>
      </c>
      <c r="C1653" t="str">
        <f>T("갓 오브 블랙필드 2부 23화")</f>
        <v>갓 오브 블랙필드 2부 23화</v>
      </c>
      <c r="D1653" t="str">
        <f>T("504")</f>
        <v>504</v>
      </c>
      <c r="E1653" t="str">
        <f t="shared" si="288"/>
        <v>무장</v>
      </c>
      <c r="H1653" t="str">
        <f t="shared" ref="H1653:H1716" si="292">T("스토리위즈")</f>
        <v>스토리위즈</v>
      </c>
      <c r="I1653" t="str">
        <f t="shared" si="290"/>
        <v>갓 오브 블랙필드</v>
      </c>
      <c r="J1653">
        <v>100</v>
      </c>
      <c r="K1653">
        <v>400</v>
      </c>
      <c r="L1653">
        <v>4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400</v>
      </c>
      <c r="AH1653">
        <v>4</v>
      </c>
      <c r="AI1653">
        <v>0</v>
      </c>
      <c r="AJ1653">
        <v>0</v>
      </c>
      <c r="AK1653">
        <v>400</v>
      </c>
      <c r="AL1653">
        <v>0</v>
      </c>
      <c r="AM1653">
        <v>0</v>
      </c>
      <c r="AN1653">
        <v>0</v>
      </c>
      <c r="AO1653">
        <v>0</v>
      </c>
      <c r="AP1653">
        <v>280</v>
      </c>
      <c r="AT1653" t="str">
        <f t="shared" si="291"/>
        <v>9791137602113</v>
      </c>
      <c r="AV1653" t="str">
        <f t="shared" si="289"/>
        <v>판타지 웹소설 &gt; 현대 판타지</v>
      </c>
    </row>
    <row r="1654" spans="1:48" x14ac:dyDescent="0.4">
      <c r="A1654">
        <v>2313011955</v>
      </c>
      <c r="B1654">
        <v>2313012721</v>
      </c>
      <c r="C1654" t="str">
        <f>T("갓 오브 블랙필드 2부 24화")</f>
        <v>갓 오브 블랙필드 2부 24화</v>
      </c>
      <c r="D1654" t="str">
        <f>T("505")</f>
        <v>505</v>
      </c>
      <c r="E1654" t="str">
        <f t="shared" si="288"/>
        <v>무장</v>
      </c>
      <c r="H1654" t="str">
        <f t="shared" si="292"/>
        <v>스토리위즈</v>
      </c>
      <c r="I1654" t="str">
        <f t="shared" si="290"/>
        <v>갓 오브 블랙필드</v>
      </c>
      <c r="J1654">
        <v>100</v>
      </c>
      <c r="K1654">
        <v>400</v>
      </c>
      <c r="L1654">
        <v>4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400</v>
      </c>
      <c r="AH1654">
        <v>4</v>
      </c>
      <c r="AI1654">
        <v>0</v>
      </c>
      <c r="AJ1654">
        <v>0</v>
      </c>
      <c r="AK1654">
        <v>400</v>
      </c>
      <c r="AL1654">
        <v>0</v>
      </c>
      <c r="AM1654">
        <v>0</v>
      </c>
      <c r="AN1654">
        <v>0</v>
      </c>
      <c r="AO1654">
        <v>0</v>
      </c>
      <c r="AP1654">
        <v>280</v>
      </c>
      <c r="AT1654" t="str">
        <f t="shared" si="291"/>
        <v>9791137602113</v>
      </c>
      <c r="AV1654" t="str">
        <f t="shared" si="289"/>
        <v>판타지 웹소설 &gt; 현대 판타지</v>
      </c>
    </row>
    <row r="1655" spans="1:48" x14ac:dyDescent="0.4">
      <c r="A1655">
        <v>2313011955</v>
      </c>
      <c r="B1655">
        <v>2313012722</v>
      </c>
      <c r="C1655" t="str">
        <f>T("갓 오브 블랙필드 2부 25화")</f>
        <v>갓 오브 블랙필드 2부 25화</v>
      </c>
      <c r="D1655" t="str">
        <f>T("506")</f>
        <v>506</v>
      </c>
      <c r="E1655" t="str">
        <f t="shared" si="288"/>
        <v>무장</v>
      </c>
      <c r="H1655" t="str">
        <f t="shared" si="292"/>
        <v>스토리위즈</v>
      </c>
      <c r="I1655" t="str">
        <f t="shared" si="290"/>
        <v>갓 오브 블랙필드</v>
      </c>
      <c r="J1655">
        <v>100</v>
      </c>
      <c r="K1655">
        <v>400</v>
      </c>
      <c r="L1655">
        <v>4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400</v>
      </c>
      <c r="AH1655">
        <v>4</v>
      </c>
      <c r="AI1655">
        <v>0</v>
      </c>
      <c r="AJ1655">
        <v>0</v>
      </c>
      <c r="AK1655">
        <v>400</v>
      </c>
      <c r="AL1655">
        <v>0</v>
      </c>
      <c r="AM1655">
        <v>0</v>
      </c>
      <c r="AN1655">
        <v>0</v>
      </c>
      <c r="AO1655">
        <v>0</v>
      </c>
      <c r="AP1655">
        <v>280</v>
      </c>
      <c r="AT1655" t="str">
        <f t="shared" si="291"/>
        <v>9791137602113</v>
      </c>
      <c r="AV1655" t="str">
        <f t="shared" si="289"/>
        <v>판타지 웹소설 &gt; 현대 판타지</v>
      </c>
    </row>
    <row r="1656" spans="1:48" x14ac:dyDescent="0.4">
      <c r="A1656">
        <v>2313011955</v>
      </c>
      <c r="B1656">
        <v>2313012723</v>
      </c>
      <c r="C1656" t="str">
        <f>T("갓 오브 블랙필드 2부 26화")</f>
        <v>갓 오브 블랙필드 2부 26화</v>
      </c>
      <c r="D1656" t="str">
        <f>T("507")</f>
        <v>507</v>
      </c>
      <c r="E1656" t="str">
        <f t="shared" si="288"/>
        <v>무장</v>
      </c>
      <c r="H1656" t="str">
        <f t="shared" si="292"/>
        <v>스토리위즈</v>
      </c>
      <c r="I1656" t="str">
        <f t="shared" si="290"/>
        <v>갓 오브 블랙필드</v>
      </c>
      <c r="J1656">
        <v>100</v>
      </c>
      <c r="K1656">
        <v>400</v>
      </c>
      <c r="L1656">
        <v>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400</v>
      </c>
      <c r="AH1656">
        <v>4</v>
      </c>
      <c r="AI1656">
        <v>0</v>
      </c>
      <c r="AJ1656">
        <v>0</v>
      </c>
      <c r="AK1656">
        <v>400</v>
      </c>
      <c r="AL1656">
        <v>0</v>
      </c>
      <c r="AM1656">
        <v>0</v>
      </c>
      <c r="AN1656">
        <v>0</v>
      </c>
      <c r="AO1656">
        <v>0</v>
      </c>
      <c r="AP1656">
        <v>280</v>
      </c>
      <c r="AT1656" t="str">
        <f t="shared" si="291"/>
        <v>9791137602113</v>
      </c>
      <c r="AV1656" t="str">
        <f t="shared" si="289"/>
        <v>판타지 웹소설 &gt; 현대 판타지</v>
      </c>
    </row>
    <row r="1657" spans="1:48" x14ac:dyDescent="0.4">
      <c r="A1657">
        <v>2313011955</v>
      </c>
      <c r="B1657">
        <v>2313012724</v>
      </c>
      <c r="C1657" t="str">
        <f>T("갓 오브 블랙필드 2부 27화")</f>
        <v>갓 오브 블랙필드 2부 27화</v>
      </c>
      <c r="D1657" t="str">
        <f>T("508")</f>
        <v>508</v>
      </c>
      <c r="E1657" t="str">
        <f t="shared" si="288"/>
        <v>무장</v>
      </c>
      <c r="H1657" t="str">
        <f t="shared" si="292"/>
        <v>스토리위즈</v>
      </c>
      <c r="I1657" t="str">
        <f t="shared" si="290"/>
        <v>갓 오브 블랙필드</v>
      </c>
      <c r="J1657">
        <v>100</v>
      </c>
      <c r="K1657">
        <v>400</v>
      </c>
      <c r="L1657">
        <v>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400</v>
      </c>
      <c r="AH1657">
        <v>4</v>
      </c>
      <c r="AI1657">
        <v>0</v>
      </c>
      <c r="AJ1657">
        <v>0</v>
      </c>
      <c r="AK1657">
        <v>400</v>
      </c>
      <c r="AL1657">
        <v>0</v>
      </c>
      <c r="AM1657">
        <v>0</v>
      </c>
      <c r="AN1657">
        <v>0</v>
      </c>
      <c r="AO1657">
        <v>0</v>
      </c>
      <c r="AP1657">
        <v>280</v>
      </c>
      <c r="AT1657" t="str">
        <f t="shared" si="291"/>
        <v>9791137602113</v>
      </c>
      <c r="AV1657" t="str">
        <f t="shared" si="289"/>
        <v>판타지 웹소설 &gt; 현대 판타지</v>
      </c>
    </row>
    <row r="1658" spans="1:48" x14ac:dyDescent="0.4">
      <c r="A1658">
        <v>2313011955</v>
      </c>
      <c r="B1658">
        <v>2313012725</v>
      </c>
      <c r="C1658" t="str">
        <f>T("갓 오브 블랙필드 2부 28화")</f>
        <v>갓 오브 블랙필드 2부 28화</v>
      </c>
      <c r="D1658" t="str">
        <f>T("509")</f>
        <v>509</v>
      </c>
      <c r="E1658" t="str">
        <f t="shared" si="288"/>
        <v>무장</v>
      </c>
      <c r="H1658" t="str">
        <f t="shared" si="292"/>
        <v>스토리위즈</v>
      </c>
      <c r="I1658" t="str">
        <f t="shared" si="290"/>
        <v>갓 오브 블랙필드</v>
      </c>
      <c r="J1658">
        <v>100</v>
      </c>
      <c r="K1658">
        <v>400</v>
      </c>
      <c r="L1658">
        <v>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400</v>
      </c>
      <c r="AH1658">
        <v>4</v>
      </c>
      <c r="AI1658">
        <v>0</v>
      </c>
      <c r="AJ1658">
        <v>0</v>
      </c>
      <c r="AK1658">
        <v>400</v>
      </c>
      <c r="AL1658">
        <v>0</v>
      </c>
      <c r="AM1658">
        <v>0</v>
      </c>
      <c r="AN1658">
        <v>0</v>
      </c>
      <c r="AO1658">
        <v>0</v>
      </c>
      <c r="AP1658">
        <v>280</v>
      </c>
      <c r="AT1658" t="str">
        <f t="shared" si="291"/>
        <v>9791137602113</v>
      </c>
      <c r="AV1658" t="str">
        <f t="shared" si="289"/>
        <v>판타지 웹소설 &gt; 현대 판타지</v>
      </c>
    </row>
    <row r="1659" spans="1:48" x14ac:dyDescent="0.4">
      <c r="A1659">
        <v>2313011955</v>
      </c>
      <c r="B1659">
        <v>2313012726</v>
      </c>
      <c r="C1659" t="str">
        <f>T("갓 오브 블랙필드 2부 29화")</f>
        <v>갓 오브 블랙필드 2부 29화</v>
      </c>
      <c r="D1659" t="str">
        <f>T("510")</f>
        <v>510</v>
      </c>
      <c r="E1659" t="str">
        <f t="shared" si="288"/>
        <v>무장</v>
      </c>
      <c r="H1659" t="str">
        <f t="shared" si="292"/>
        <v>스토리위즈</v>
      </c>
      <c r="I1659" t="str">
        <f t="shared" si="290"/>
        <v>갓 오브 블랙필드</v>
      </c>
      <c r="J1659">
        <v>100</v>
      </c>
      <c r="K1659">
        <v>400</v>
      </c>
      <c r="L1659">
        <v>4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400</v>
      </c>
      <c r="AH1659">
        <v>4</v>
      </c>
      <c r="AI1659">
        <v>0</v>
      </c>
      <c r="AJ1659">
        <v>0</v>
      </c>
      <c r="AK1659">
        <v>400</v>
      </c>
      <c r="AL1659">
        <v>0</v>
      </c>
      <c r="AM1659">
        <v>0</v>
      </c>
      <c r="AN1659">
        <v>0</v>
      </c>
      <c r="AO1659">
        <v>0</v>
      </c>
      <c r="AP1659">
        <v>280</v>
      </c>
      <c r="AT1659" t="str">
        <f t="shared" si="291"/>
        <v>9791137602113</v>
      </c>
      <c r="AV1659" t="str">
        <f t="shared" si="289"/>
        <v>판타지 웹소설 &gt; 현대 판타지</v>
      </c>
    </row>
    <row r="1660" spans="1:48" x14ac:dyDescent="0.4">
      <c r="A1660">
        <v>2313011955</v>
      </c>
      <c r="B1660">
        <v>2313012727</v>
      </c>
      <c r="C1660" t="str">
        <f>T("갓 오브 블랙필드 2부 30화")</f>
        <v>갓 오브 블랙필드 2부 30화</v>
      </c>
      <c r="D1660" t="str">
        <f>T("511")</f>
        <v>511</v>
      </c>
      <c r="E1660" t="str">
        <f t="shared" si="288"/>
        <v>무장</v>
      </c>
      <c r="H1660" t="str">
        <f t="shared" si="292"/>
        <v>스토리위즈</v>
      </c>
      <c r="I1660" t="str">
        <f t="shared" si="290"/>
        <v>갓 오브 블랙필드</v>
      </c>
      <c r="J1660">
        <v>100</v>
      </c>
      <c r="K1660">
        <v>400</v>
      </c>
      <c r="L1660">
        <v>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400</v>
      </c>
      <c r="AH1660">
        <v>4</v>
      </c>
      <c r="AI1660">
        <v>0</v>
      </c>
      <c r="AJ1660">
        <v>0</v>
      </c>
      <c r="AK1660">
        <v>400</v>
      </c>
      <c r="AL1660">
        <v>0</v>
      </c>
      <c r="AM1660">
        <v>0</v>
      </c>
      <c r="AN1660">
        <v>0</v>
      </c>
      <c r="AO1660">
        <v>0</v>
      </c>
      <c r="AP1660">
        <v>280</v>
      </c>
      <c r="AT1660" t="str">
        <f t="shared" si="291"/>
        <v>9791137602113</v>
      </c>
      <c r="AV1660" t="str">
        <f t="shared" si="289"/>
        <v>판타지 웹소설 &gt; 현대 판타지</v>
      </c>
    </row>
    <row r="1661" spans="1:48" x14ac:dyDescent="0.4">
      <c r="A1661">
        <v>2313011955</v>
      </c>
      <c r="B1661">
        <v>2313012728</v>
      </c>
      <c r="C1661" t="str">
        <f>T("갓 오브 블랙필드 2부 31화")</f>
        <v>갓 오브 블랙필드 2부 31화</v>
      </c>
      <c r="D1661" t="str">
        <f>T("512")</f>
        <v>512</v>
      </c>
      <c r="E1661" t="str">
        <f t="shared" si="288"/>
        <v>무장</v>
      </c>
      <c r="H1661" t="str">
        <f t="shared" si="292"/>
        <v>스토리위즈</v>
      </c>
      <c r="I1661" t="str">
        <f t="shared" si="290"/>
        <v>갓 오브 블랙필드</v>
      </c>
      <c r="J1661">
        <v>100</v>
      </c>
      <c r="K1661">
        <v>400</v>
      </c>
      <c r="L1661">
        <v>4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400</v>
      </c>
      <c r="AH1661">
        <v>4</v>
      </c>
      <c r="AI1661">
        <v>0</v>
      </c>
      <c r="AJ1661">
        <v>0</v>
      </c>
      <c r="AK1661">
        <v>400</v>
      </c>
      <c r="AL1661">
        <v>0</v>
      </c>
      <c r="AM1661">
        <v>0</v>
      </c>
      <c r="AN1661">
        <v>0</v>
      </c>
      <c r="AO1661">
        <v>0</v>
      </c>
      <c r="AP1661">
        <v>280</v>
      </c>
      <c r="AT1661" t="str">
        <f t="shared" si="291"/>
        <v>9791137602113</v>
      </c>
      <c r="AV1661" t="str">
        <f t="shared" si="289"/>
        <v>판타지 웹소설 &gt; 현대 판타지</v>
      </c>
    </row>
    <row r="1662" spans="1:48" x14ac:dyDescent="0.4">
      <c r="A1662">
        <v>2313011955</v>
      </c>
      <c r="B1662">
        <v>2313012729</v>
      </c>
      <c r="C1662" t="str">
        <f>T("갓 오브 블랙필드 2부 32화")</f>
        <v>갓 오브 블랙필드 2부 32화</v>
      </c>
      <c r="D1662" t="str">
        <f>T("513")</f>
        <v>513</v>
      </c>
      <c r="E1662" t="str">
        <f t="shared" si="288"/>
        <v>무장</v>
      </c>
      <c r="H1662" t="str">
        <f t="shared" si="292"/>
        <v>스토리위즈</v>
      </c>
      <c r="I1662" t="str">
        <f t="shared" si="290"/>
        <v>갓 오브 블랙필드</v>
      </c>
      <c r="J1662">
        <v>100</v>
      </c>
      <c r="K1662">
        <v>400</v>
      </c>
      <c r="L1662">
        <v>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400</v>
      </c>
      <c r="AH1662">
        <v>4</v>
      </c>
      <c r="AI1662">
        <v>0</v>
      </c>
      <c r="AJ1662">
        <v>0</v>
      </c>
      <c r="AK1662">
        <v>400</v>
      </c>
      <c r="AL1662">
        <v>0</v>
      </c>
      <c r="AM1662">
        <v>0</v>
      </c>
      <c r="AN1662">
        <v>0</v>
      </c>
      <c r="AO1662">
        <v>0</v>
      </c>
      <c r="AP1662">
        <v>280</v>
      </c>
      <c r="AT1662" t="str">
        <f t="shared" si="291"/>
        <v>9791137602113</v>
      </c>
      <c r="AV1662" t="str">
        <f t="shared" si="289"/>
        <v>판타지 웹소설 &gt; 현대 판타지</v>
      </c>
    </row>
    <row r="1663" spans="1:48" x14ac:dyDescent="0.4">
      <c r="A1663">
        <v>2313011955</v>
      </c>
      <c r="B1663">
        <v>2313012730</v>
      </c>
      <c r="C1663" t="str">
        <f>T("갓 오브 블랙필드 2부 33화")</f>
        <v>갓 오브 블랙필드 2부 33화</v>
      </c>
      <c r="D1663" t="str">
        <f>T("514")</f>
        <v>514</v>
      </c>
      <c r="E1663" t="str">
        <f t="shared" si="288"/>
        <v>무장</v>
      </c>
      <c r="H1663" t="str">
        <f t="shared" si="292"/>
        <v>스토리위즈</v>
      </c>
      <c r="I1663" t="str">
        <f t="shared" si="290"/>
        <v>갓 오브 블랙필드</v>
      </c>
      <c r="J1663">
        <v>100</v>
      </c>
      <c r="K1663">
        <v>400</v>
      </c>
      <c r="L1663">
        <v>4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400</v>
      </c>
      <c r="AH1663">
        <v>4</v>
      </c>
      <c r="AI1663">
        <v>0</v>
      </c>
      <c r="AJ1663">
        <v>0</v>
      </c>
      <c r="AK1663">
        <v>400</v>
      </c>
      <c r="AL1663">
        <v>0</v>
      </c>
      <c r="AM1663">
        <v>0</v>
      </c>
      <c r="AN1663">
        <v>0</v>
      </c>
      <c r="AO1663">
        <v>0</v>
      </c>
      <c r="AP1663">
        <v>280</v>
      </c>
      <c r="AT1663" t="str">
        <f t="shared" si="291"/>
        <v>9791137602113</v>
      </c>
      <c r="AV1663" t="str">
        <f t="shared" si="289"/>
        <v>판타지 웹소설 &gt; 현대 판타지</v>
      </c>
    </row>
    <row r="1664" spans="1:48" x14ac:dyDescent="0.4">
      <c r="A1664">
        <v>2313011955</v>
      </c>
      <c r="B1664">
        <v>2313012731</v>
      </c>
      <c r="C1664" t="str">
        <f>T("갓 오브 블랙필드 2부 34화")</f>
        <v>갓 오브 블랙필드 2부 34화</v>
      </c>
      <c r="D1664" t="str">
        <f>T("515")</f>
        <v>515</v>
      </c>
      <c r="E1664" t="str">
        <f t="shared" si="288"/>
        <v>무장</v>
      </c>
      <c r="H1664" t="str">
        <f t="shared" si="292"/>
        <v>스토리위즈</v>
      </c>
      <c r="I1664" t="str">
        <f t="shared" si="290"/>
        <v>갓 오브 블랙필드</v>
      </c>
      <c r="J1664">
        <v>100</v>
      </c>
      <c r="K1664">
        <v>400</v>
      </c>
      <c r="L1664">
        <v>4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400</v>
      </c>
      <c r="AH1664">
        <v>4</v>
      </c>
      <c r="AI1664">
        <v>0</v>
      </c>
      <c r="AJ1664">
        <v>0</v>
      </c>
      <c r="AK1664">
        <v>400</v>
      </c>
      <c r="AL1664">
        <v>0</v>
      </c>
      <c r="AM1664">
        <v>0</v>
      </c>
      <c r="AN1664">
        <v>0</v>
      </c>
      <c r="AO1664">
        <v>0</v>
      </c>
      <c r="AP1664">
        <v>280</v>
      </c>
      <c r="AT1664" t="str">
        <f t="shared" si="291"/>
        <v>9791137602113</v>
      </c>
      <c r="AV1664" t="str">
        <f t="shared" si="289"/>
        <v>판타지 웹소설 &gt; 현대 판타지</v>
      </c>
    </row>
    <row r="1665" spans="1:48" x14ac:dyDescent="0.4">
      <c r="A1665">
        <v>2313011955</v>
      </c>
      <c r="B1665">
        <v>2313012732</v>
      </c>
      <c r="C1665" t="str">
        <f>T("갓 오브 블랙필드 2부 35화")</f>
        <v>갓 오브 블랙필드 2부 35화</v>
      </c>
      <c r="D1665" t="str">
        <f>T("516")</f>
        <v>516</v>
      </c>
      <c r="E1665" t="str">
        <f t="shared" si="288"/>
        <v>무장</v>
      </c>
      <c r="H1665" t="str">
        <f t="shared" si="292"/>
        <v>스토리위즈</v>
      </c>
      <c r="I1665" t="str">
        <f t="shared" si="290"/>
        <v>갓 오브 블랙필드</v>
      </c>
      <c r="J1665">
        <v>100</v>
      </c>
      <c r="K1665">
        <v>400</v>
      </c>
      <c r="L1665">
        <v>4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400</v>
      </c>
      <c r="AH1665">
        <v>4</v>
      </c>
      <c r="AI1665">
        <v>0</v>
      </c>
      <c r="AJ1665">
        <v>0</v>
      </c>
      <c r="AK1665">
        <v>400</v>
      </c>
      <c r="AL1665">
        <v>0</v>
      </c>
      <c r="AM1665">
        <v>0</v>
      </c>
      <c r="AN1665">
        <v>0</v>
      </c>
      <c r="AO1665">
        <v>0</v>
      </c>
      <c r="AP1665">
        <v>280</v>
      </c>
      <c r="AT1665" t="str">
        <f t="shared" si="291"/>
        <v>9791137602113</v>
      </c>
      <c r="AV1665" t="str">
        <f t="shared" si="289"/>
        <v>판타지 웹소설 &gt; 현대 판타지</v>
      </c>
    </row>
    <row r="1666" spans="1:48" x14ac:dyDescent="0.4">
      <c r="A1666">
        <v>2313011955</v>
      </c>
      <c r="B1666">
        <v>2313012733</v>
      </c>
      <c r="C1666" t="str">
        <f>T("갓 오브 블랙필드 2부 36화")</f>
        <v>갓 오브 블랙필드 2부 36화</v>
      </c>
      <c r="D1666" t="str">
        <f>T("517")</f>
        <v>517</v>
      </c>
      <c r="E1666" t="str">
        <f t="shared" si="288"/>
        <v>무장</v>
      </c>
      <c r="H1666" t="str">
        <f t="shared" si="292"/>
        <v>스토리위즈</v>
      </c>
      <c r="I1666" t="str">
        <f t="shared" si="290"/>
        <v>갓 오브 블랙필드</v>
      </c>
      <c r="J1666">
        <v>100</v>
      </c>
      <c r="K1666">
        <v>400</v>
      </c>
      <c r="L1666">
        <v>4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400</v>
      </c>
      <c r="AH1666">
        <v>4</v>
      </c>
      <c r="AI1666">
        <v>0</v>
      </c>
      <c r="AJ1666">
        <v>0</v>
      </c>
      <c r="AK1666">
        <v>400</v>
      </c>
      <c r="AL1666">
        <v>0</v>
      </c>
      <c r="AM1666">
        <v>0</v>
      </c>
      <c r="AN1666">
        <v>0</v>
      </c>
      <c r="AO1666">
        <v>0</v>
      </c>
      <c r="AP1666">
        <v>280</v>
      </c>
      <c r="AT1666" t="str">
        <f t="shared" si="291"/>
        <v>9791137602113</v>
      </c>
      <c r="AV1666" t="str">
        <f t="shared" si="289"/>
        <v>판타지 웹소설 &gt; 현대 판타지</v>
      </c>
    </row>
    <row r="1667" spans="1:48" x14ac:dyDescent="0.4">
      <c r="A1667">
        <v>2313011955</v>
      </c>
      <c r="B1667">
        <v>2313012734</v>
      </c>
      <c r="C1667" t="str">
        <f>T("갓 오브 블랙필드 2부 37화")</f>
        <v>갓 오브 블랙필드 2부 37화</v>
      </c>
      <c r="D1667" t="str">
        <f>T("518")</f>
        <v>518</v>
      </c>
      <c r="E1667" t="str">
        <f t="shared" si="288"/>
        <v>무장</v>
      </c>
      <c r="H1667" t="str">
        <f t="shared" si="292"/>
        <v>스토리위즈</v>
      </c>
      <c r="I1667" t="str">
        <f t="shared" si="290"/>
        <v>갓 오브 블랙필드</v>
      </c>
      <c r="J1667">
        <v>100</v>
      </c>
      <c r="K1667">
        <v>400</v>
      </c>
      <c r="L1667">
        <v>4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400</v>
      </c>
      <c r="AH1667">
        <v>4</v>
      </c>
      <c r="AI1667">
        <v>0</v>
      </c>
      <c r="AJ1667">
        <v>0</v>
      </c>
      <c r="AK1667">
        <v>400</v>
      </c>
      <c r="AL1667">
        <v>0</v>
      </c>
      <c r="AM1667">
        <v>0</v>
      </c>
      <c r="AN1667">
        <v>0</v>
      </c>
      <c r="AO1667">
        <v>0</v>
      </c>
      <c r="AP1667">
        <v>280</v>
      </c>
      <c r="AT1667" t="str">
        <f t="shared" si="291"/>
        <v>9791137602113</v>
      </c>
      <c r="AV1667" t="str">
        <f t="shared" si="289"/>
        <v>판타지 웹소설 &gt; 현대 판타지</v>
      </c>
    </row>
    <row r="1668" spans="1:48" x14ac:dyDescent="0.4">
      <c r="A1668">
        <v>2313011955</v>
      </c>
      <c r="B1668">
        <v>2313012735</v>
      </c>
      <c r="C1668" t="str">
        <f>T("갓 오브 블랙필드 2부 38화")</f>
        <v>갓 오브 블랙필드 2부 38화</v>
      </c>
      <c r="D1668" t="str">
        <f>T("519")</f>
        <v>519</v>
      </c>
      <c r="E1668" t="str">
        <f t="shared" si="288"/>
        <v>무장</v>
      </c>
      <c r="H1668" t="str">
        <f t="shared" si="292"/>
        <v>스토리위즈</v>
      </c>
      <c r="I1668" t="str">
        <f t="shared" si="290"/>
        <v>갓 오브 블랙필드</v>
      </c>
      <c r="J1668">
        <v>100</v>
      </c>
      <c r="K1668">
        <v>400</v>
      </c>
      <c r="L1668">
        <v>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400</v>
      </c>
      <c r="AH1668">
        <v>4</v>
      </c>
      <c r="AI1668">
        <v>0</v>
      </c>
      <c r="AJ1668">
        <v>0</v>
      </c>
      <c r="AK1668">
        <v>400</v>
      </c>
      <c r="AL1668">
        <v>0</v>
      </c>
      <c r="AM1668">
        <v>0</v>
      </c>
      <c r="AN1668">
        <v>0</v>
      </c>
      <c r="AO1668">
        <v>0</v>
      </c>
      <c r="AP1668">
        <v>280</v>
      </c>
      <c r="AT1668" t="str">
        <f t="shared" si="291"/>
        <v>9791137602113</v>
      </c>
      <c r="AV1668" t="str">
        <f t="shared" si="289"/>
        <v>판타지 웹소설 &gt; 현대 판타지</v>
      </c>
    </row>
    <row r="1669" spans="1:48" x14ac:dyDescent="0.4">
      <c r="A1669">
        <v>2313011955</v>
      </c>
      <c r="B1669">
        <v>2313012736</v>
      </c>
      <c r="C1669" t="str">
        <f>T("갓 오브 블랙필드 2부 39화")</f>
        <v>갓 오브 블랙필드 2부 39화</v>
      </c>
      <c r="D1669" t="str">
        <f>T("520")</f>
        <v>520</v>
      </c>
      <c r="E1669" t="str">
        <f t="shared" si="288"/>
        <v>무장</v>
      </c>
      <c r="H1669" t="str">
        <f t="shared" si="292"/>
        <v>스토리위즈</v>
      </c>
      <c r="I1669" t="str">
        <f t="shared" si="290"/>
        <v>갓 오브 블랙필드</v>
      </c>
      <c r="J1669">
        <v>100</v>
      </c>
      <c r="K1669">
        <v>400</v>
      </c>
      <c r="L1669">
        <v>4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400</v>
      </c>
      <c r="AH1669">
        <v>4</v>
      </c>
      <c r="AI1669">
        <v>0</v>
      </c>
      <c r="AJ1669">
        <v>0</v>
      </c>
      <c r="AK1669">
        <v>400</v>
      </c>
      <c r="AL1669">
        <v>0</v>
      </c>
      <c r="AM1669">
        <v>0</v>
      </c>
      <c r="AN1669">
        <v>0</v>
      </c>
      <c r="AO1669">
        <v>0</v>
      </c>
      <c r="AP1669">
        <v>280</v>
      </c>
      <c r="AT1669" t="str">
        <f t="shared" si="291"/>
        <v>9791137602113</v>
      </c>
      <c r="AV1669" t="str">
        <f t="shared" si="289"/>
        <v>판타지 웹소설 &gt; 현대 판타지</v>
      </c>
    </row>
    <row r="1670" spans="1:48" x14ac:dyDescent="0.4">
      <c r="A1670">
        <v>2313011955</v>
      </c>
      <c r="B1670">
        <v>2313012737</v>
      </c>
      <c r="C1670" t="str">
        <f>T("갓 오브 블랙필드 2부 40화")</f>
        <v>갓 오브 블랙필드 2부 40화</v>
      </c>
      <c r="D1670" t="str">
        <f>T("521")</f>
        <v>521</v>
      </c>
      <c r="E1670" t="str">
        <f t="shared" si="288"/>
        <v>무장</v>
      </c>
      <c r="H1670" t="str">
        <f t="shared" si="292"/>
        <v>스토리위즈</v>
      </c>
      <c r="I1670" t="str">
        <f t="shared" si="290"/>
        <v>갓 오브 블랙필드</v>
      </c>
      <c r="J1670">
        <v>100</v>
      </c>
      <c r="K1670">
        <v>400</v>
      </c>
      <c r="L1670">
        <v>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400</v>
      </c>
      <c r="AH1670">
        <v>4</v>
      </c>
      <c r="AI1670">
        <v>0</v>
      </c>
      <c r="AJ1670">
        <v>0</v>
      </c>
      <c r="AK1670">
        <v>400</v>
      </c>
      <c r="AL1670">
        <v>0</v>
      </c>
      <c r="AM1670">
        <v>0</v>
      </c>
      <c r="AN1670">
        <v>0</v>
      </c>
      <c r="AO1670">
        <v>0</v>
      </c>
      <c r="AP1670">
        <v>280</v>
      </c>
      <c r="AT1670" t="str">
        <f t="shared" si="291"/>
        <v>9791137602113</v>
      </c>
      <c r="AV1670" t="str">
        <f t="shared" si="289"/>
        <v>판타지 웹소설 &gt; 현대 판타지</v>
      </c>
    </row>
    <row r="1671" spans="1:48" x14ac:dyDescent="0.4">
      <c r="A1671">
        <v>2313011955</v>
      </c>
      <c r="B1671">
        <v>2313012738</v>
      </c>
      <c r="C1671" t="str">
        <f>T("갓 오브 블랙필드 2부 41화")</f>
        <v>갓 오브 블랙필드 2부 41화</v>
      </c>
      <c r="D1671" t="str">
        <f>T("522")</f>
        <v>522</v>
      </c>
      <c r="E1671" t="str">
        <f t="shared" si="288"/>
        <v>무장</v>
      </c>
      <c r="H1671" t="str">
        <f t="shared" si="292"/>
        <v>스토리위즈</v>
      </c>
      <c r="I1671" t="str">
        <f t="shared" si="290"/>
        <v>갓 오브 블랙필드</v>
      </c>
      <c r="J1671">
        <v>100</v>
      </c>
      <c r="K1671">
        <v>400</v>
      </c>
      <c r="L1671">
        <v>4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400</v>
      </c>
      <c r="AH1671">
        <v>4</v>
      </c>
      <c r="AI1671">
        <v>0</v>
      </c>
      <c r="AJ1671">
        <v>0</v>
      </c>
      <c r="AK1671">
        <v>400</v>
      </c>
      <c r="AL1671">
        <v>0</v>
      </c>
      <c r="AM1671">
        <v>0</v>
      </c>
      <c r="AN1671">
        <v>0</v>
      </c>
      <c r="AO1671">
        <v>0</v>
      </c>
      <c r="AP1671">
        <v>280</v>
      </c>
      <c r="AT1671" t="str">
        <f t="shared" si="291"/>
        <v>9791137602113</v>
      </c>
      <c r="AV1671" t="str">
        <f t="shared" si="289"/>
        <v>판타지 웹소설 &gt; 현대 판타지</v>
      </c>
    </row>
    <row r="1672" spans="1:48" x14ac:dyDescent="0.4">
      <c r="A1672">
        <v>2313011955</v>
      </c>
      <c r="B1672">
        <v>2313012739</v>
      </c>
      <c r="C1672" t="str">
        <f>T("갓 오브 블랙필드 2부 42화")</f>
        <v>갓 오브 블랙필드 2부 42화</v>
      </c>
      <c r="D1672" t="str">
        <f>T("523")</f>
        <v>523</v>
      </c>
      <c r="E1672" t="str">
        <f t="shared" si="288"/>
        <v>무장</v>
      </c>
      <c r="H1672" t="str">
        <f t="shared" si="292"/>
        <v>스토리위즈</v>
      </c>
      <c r="I1672" t="str">
        <f t="shared" si="290"/>
        <v>갓 오브 블랙필드</v>
      </c>
      <c r="J1672">
        <v>100</v>
      </c>
      <c r="K1672">
        <v>400</v>
      </c>
      <c r="L1672">
        <v>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400</v>
      </c>
      <c r="AH1672">
        <v>4</v>
      </c>
      <c r="AI1672">
        <v>0</v>
      </c>
      <c r="AJ1672">
        <v>0</v>
      </c>
      <c r="AK1672">
        <v>400</v>
      </c>
      <c r="AL1672">
        <v>0</v>
      </c>
      <c r="AM1672">
        <v>0</v>
      </c>
      <c r="AN1672">
        <v>0</v>
      </c>
      <c r="AO1672">
        <v>0</v>
      </c>
      <c r="AP1672">
        <v>280</v>
      </c>
      <c r="AT1672" t="str">
        <f t="shared" si="291"/>
        <v>9791137602113</v>
      </c>
      <c r="AV1672" t="str">
        <f t="shared" si="289"/>
        <v>판타지 웹소설 &gt; 현대 판타지</v>
      </c>
    </row>
    <row r="1673" spans="1:48" x14ac:dyDescent="0.4">
      <c r="A1673">
        <v>2313011955</v>
      </c>
      <c r="B1673">
        <v>2313012740</v>
      </c>
      <c r="C1673" t="str">
        <f>T("갓 오브 블랙필드 2부 43화")</f>
        <v>갓 오브 블랙필드 2부 43화</v>
      </c>
      <c r="D1673" t="str">
        <f>T("524")</f>
        <v>524</v>
      </c>
      <c r="E1673" t="str">
        <f t="shared" ref="E1673:E1729" si="293">T("무장")</f>
        <v>무장</v>
      </c>
      <c r="H1673" t="str">
        <f t="shared" si="292"/>
        <v>스토리위즈</v>
      </c>
      <c r="I1673" t="str">
        <f t="shared" si="290"/>
        <v>갓 오브 블랙필드</v>
      </c>
      <c r="J1673">
        <v>100</v>
      </c>
      <c r="K1673">
        <v>400</v>
      </c>
      <c r="L1673">
        <v>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400</v>
      </c>
      <c r="AH1673">
        <v>4</v>
      </c>
      <c r="AI1673">
        <v>0</v>
      </c>
      <c r="AJ1673">
        <v>0</v>
      </c>
      <c r="AK1673">
        <v>400</v>
      </c>
      <c r="AL1673">
        <v>0</v>
      </c>
      <c r="AM1673">
        <v>0</v>
      </c>
      <c r="AN1673">
        <v>0</v>
      </c>
      <c r="AO1673">
        <v>0</v>
      </c>
      <c r="AP1673">
        <v>280</v>
      </c>
      <c r="AT1673" t="str">
        <f t="shared" si="291"/>
        <v>9791137602113</v>
      </c>
      <c r="AV1673" t="str">
        <f t="shared" ref="AV1673:AV1729" si="294">T("판타지 웹소설 &gt; 현대 판타지")</f>
        <v>판타지 웹소설 &gt; 현대 판타지</v>
      </c>
    </row>
    <row r="1674" spans="1:48" x14ac:dyDescent="0.4">
      <c r="A1674">
        <v>2313011955</v>
      </c>
      <c r="B1674">
        <v>2313012741</v>
      </c>
      <c r="C1674" t="str">
        <f>T("갓 오브 블랙필드 2부 44화")</f>
        <v>갓 오브 블랙필드 2부 44화</v>
      </c>
      <c r="D1674" t="str">
        <f>T("525")</f>
        <v>525</v>
      </c>
      <c r="E1674" t="str">
        <f t="shared" si="293"/>
        <v>무장</v>
      </c>
      <c r="H1674" t="str">
        <f t="shared" si="292"/>
        <v>스토리위즈</v>
      </c>
      <c r="I1674" t="str">
        <f t="shared" si="290"/>
        <v>갓 오브 블랙필드</v>
      </c>
      <c r="J1674">
        <v>100</v>
      </c>
      <c r="K1674">
        <v>400</v>
      </c>
      <c r="L1674">
        <v>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400</v>
      </c>
      <c r="AH1674">
        <v>4</v>
      </c>
      <c r="AI1674">
        <v>0</v>
      </c>
      <c r="AJ1674">
        <v>0</v>
      </c>
      <c r="AK1674">
        <v>400</v>
      </c>
      <c r="AL1674">
        <v>0</v>
      </c>
      <c r="AM1674">
        <v>0</v>
      </c>
      <c r="AN1674">
        <v>0</v>
      </c>
      <c r="AO1674">
        <v>0</v>
      </c>
      <c r="AP1674">
        <v>280</v>
      </c>
      <c r="AT1674" t="str">
        <f t="shared" si="291"/>
        <v>9791137602113</v>
      </c>
      <c r="AV1674" t="str">
        <f t="shared" si="294"/>
        <v>판타지 웹소설 &gt; 현대 판타지</v>
      </c>
    </row>
    <row r="1675" spans="1:48" x14ac:dyDescent="0.4">
      <c r="A1675">
        <v>2313011955</v>
      </c>
      <c r="B1675">
        <v>2313012742</v>
      </c>
      <c r="C1675" t="str">
        <f>T("갓 오브 블랙필드 2부 45화")</f>
        <v>갓 오브 블랙필드 2부 45화</v>
      </c>
      <c r="D1675" t="str">
        <f>T("526")</f>
        <v>526</v>
      </c>
      <c r="E1675" t="str">
        <f t="shared" si="293"/>
        <v>무장</v>
      </c>
      <c r="H1675" t="str">
        <f t="shared" si="292"/>
        <v>스토리위즈</v>
      </c>
      <c r="I1675" t="str">
        <f t="shared" si="290"/>
        <v>갓 오브 블랙필드</v>
      </c>
      <c r="J1675">
        <v>100</v>
      </c>
      <c r="K1675">
        <v>400</v>
      </c>
      <c r="L1675">
        <v>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400</v>
      </c>
      <c r="AH1675">
        <v>4</v>
      </c>
      <c r="AI1675">
        <v>0</v>
      </c>
      <c r="AJ1675">
        <v>0</v>
      </c>
      <c r="AK1675">
        <v>400</v>
      </c>
      <c r="AL1675">
        <v>0</v>
      </c>
      <c r="AM1675">
        <v>0</v>
      </c>
      <c r="AN1675">
        <v>0</v>
      </c>
      <c r="AO1675">
        <v>0</v>
      </c>
      <c r="AP1675">
        <v>280</v>
      </c>
      <c r="AT1675" t="str">
        <f t="shared" si="291"/>
        <v>9791137602113</v>
      </c>
      <c r="AV1675" t="str">
        <f t="shared" si="294"/>
        <v>판타지 웹소설 &gt; 현대 판타지</v>
      </c>
    </row>
    <row r="1676" spans="1:48" x14ac:dyDescent="0.4">
      <c r="A1676">
        <v>2313011955</v>
      </c>
      <c r="B1676">
        <v>2313012743</v>
      </c>
      <c r="C1676" t="str">
        <f>T("갓 오브 블랙필드 2부 46화")</f>
        <v>갓 오브 블랙필드 2부 46화</v>
      </c>
      <c r="D1676" t="str">
        <f>T("527")</f>
        <v>527</v>
      </c>
      <c r="E1676" t="str">
        <f t="shared" si="293"/>
        <v>무장</v>
      </c>
      <c r="H1676" t="str">
        <f t="shared" si="292"/>
        <v>스토리위즈</v>
      </c>
      <c r="I1676" t="str">
        <f t="shared" si="290"/>
        <v>갓 오브 블랙필드</v>
      </c>
      <c r="J1676">
        <v>100</v>
      </c>
      <c r="K1676">
        <v>400</v>
      </c>
      <c r="L1676">
        <v>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400</v>
      </c>
      <c r="AH1676">
        <v>4</v>
      </c>
      <c r="AI1676">
        <v>0</v>
      </c>
      <c r="AJ1676">
        <v>0</v>
      </c>
      <c r="AK1676">
        <v>400</v>
      </c>
      <c r="AL1676">
        <v>0</v>
      </c>
      <c r="AM1676">
        <v>0</v>
      </c>
      <c r="AN1676">
        <v>0</v>
      </c>
      <c r="AO1676">
        <v>0</v>
      </c>
      <c r="AP1676">
        <v>280</v>
      </c>
      <c r="AT1676" t="str">
        <f t="shared" si="291"/>
        <v>9791137602113</v>
      </c>
      <c r="AV1676" t="str">
        <f t="shared" si="294"/>
        <v>판타지 웹소설 &gt; 현대 판타지</v>
      </c>
    </row>
    <row r="1677" spans="1:48" x14ac:dyDescent="0.4">
      <c r="A1677">
        <v>2313011955</v>
      </c>
      <c r="B1677">
        <v>2313012744</v>
      </c>
      <c r="C1677" t="str">
        <f>T("갓 오브 블랙필드 2부 47화")</f>
        <v>갓 오브 블랙필드 2부 47화</v>
      </c>
      <c r="D1677" t="str">
        <f>T("528")</f>
        <v>528</v>
      </c>
      <c r="E1677" t="str">
        <f t="shared" si="293"/>
        <v>무장</v>
      </c>
      <c r="H1677" t="str">
        <f t="shared" si="292"/>
        <v>스토리위즈</v>
      </c>
      <c r="I1677" t="str">
        <f t="shared" si="290"/>
        <v>갓 오브 블랙필드</v>
      </c>
      <c r="J1677">
        <v>100</v>
      </c>
      <c r="K1677">
        <v>400</v>
      </c>
      <c r="L1677">
        <v>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400</v>
      </c>
      <c r="AH1677">
        <v>4</v>
      </c>
      <c r="AI1677">
        <v>0</v>
      </c>
      <c r="AJ1677">
        <v>0</v>
      </c>
      <c r="AK1677">
        <v>400</v>
      </c>
      <c r="AL1677">
        <v>0</v>
      </c>
      <c r="AM1677">
        <v>0</v>
      </c>
      <c r="AN1677">
        <v>0</v>
      </c>
      <c r="AO1677">
        <v>0</v>
      </c>
      <c r="AP1677">
        <v>280</v>
      </c>
      <c r="AT1677" t="str">
        <f t="shared" si="291"/>
        <v>9791137602113</v>
      </c>
      <c r="AV1677" t="str">
        <f t="shared" si="294"/>
        <v>판타지 웹소설 &gt; 현대 판타지</v>
      </c>
    </row>
    <row r="1678" spans="1:48" x14ac:dyDescent="0.4">
      <c r="A1678">
        <v>2313011955</v>
      </c>
      <c r="B1678">
        <v>2313012745</v>
      </c>
      <c r="C1678" t="str">
        <f>T("갓 오브 블랙필드 2부 48화")</f>
        <v>갓 오브 블랙필드 2부 48화</v>
      </c>
      <c r="D1678" t="str">
        <f>T("529")</f>
        <v>529</v>
      </c>
      <c r="E1678" t="str">
        <f t="shared" si="293"/>
        <v>무장</v>
      </c>
      <c r="H1678" t="str">
        <f t="shared" si="292"/>
        <v>스토리위즈</v>
      </c>
      <c r="I1678" t="str">
        <f t="shared" si="290"/>
        <v>갓 오브 블랙필드</v>
      </c>
      <c r="J1678">
        <v>100</v>
      </c>
      <c r="K1678">
        <v>400</v>
      </c>
      <c r="L1678">
        <v>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400</v>
      </c>
      <c r="AH1678">
        <v>4</v>
      </c>
      <c r="AI1678">
        <v>0</v>
      </c>
      <c r="AJ1678">
        <v>0</v>
      </c>
      <c r="AK1678">
        <v>400</v>
      </c>
      <c r="AL1678">
        <v>0</v>
      </c>
      <c r="AM1678">
        <v>0</v>
      </c>
      <c r="AN1678">
        <v>0</v>
      </c>
      <c r="AO1678">
        <v>0</v>
      </c>
      <c r="AP1678">
        <v>280</v>
      </c>
      <c r="AT1678" t="str">
        <f t="shared" si="291"/>
        <v>9791137602113</v>
      </c>
      <c r="AV1678" t="str">
        <f t="shared" si="294"/>
        <v>판타지 웹소설 &gt; 현대 판타지</v>
      </c>
    </row>
    <row r="1679" spans="1:48" x14ac:dyDescent="0.4">
      <c r="A1679">
        <v>2313011955</v>
      </c>
      <c r="B1679">
        <v>2313012746</v>
      </c>
      <c r="C1679" t="str">
        <f>T("갓 오브 블랙필드 2부 49화")</f>
        <v>갓 오브 블랙필드 2부 49화</v>
      </c>
      <c r="D1679" t="str">
        <f>T("530")</f>
        <v>530</v>
      </c>
      <c r="E1679" t="str">
        <f t="shared" si="293"/>
        <v>무장</v>
      </c>
      <c r="H1679" t="str">
        <f t="shared" si="292"/>
        <v>스토리위즈</v>
      </c>
      <c r="I1679" t="str">
        <f t="shared" si="290"/>
        <v>갓 오브 블랙필드</v>
      </c>
      <c r="J1679">
        <v>100</v>
      </c>
      <c r="K1679">
        <v>400</v>
      </c>
      <c r="L1679">
        <v>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400</v>
      </c>
      <c r="AH1679">
        <v>4</v>
      </c>
      <c r="AI1679">
        <v>0</v>
      </c>
      <c r="AJ1679">
        <v>0</v>
      </c>
      <c r="AK1679">
        <v>400</v>
      </c>
      <c r="AL1679">
        <v>0</v>
      </c>
      <c r="AM1679">
        <v>0</v>
      </c>
      <c r="AN1679">
        <v>0</v>
      </c>
      <c r="AO1679">
        <v>0</v>
      </c>
      <c r="AP1679">
        <v>280</v>
      </c>
      <c r="AT1679" t="str">
        <f t="shared" si="291"/>
        <v>9791137602113</v>
      </c>
      <c r="AV1679" t="str">
        <f t="shared" si="294"/>
        <v>판타지 웹소설 &gt; 현대 판타지</v>
      </c>
    </row>
    <row r="1680" spans="1:48" x14ac:dyDescent="0.4">
      <c r="A1680">
        <v>2313011955</v>
      </c>
      <c r="B1680">
        <v>2313012747</v>
      </c>
      <c r="C1680" t="str">
        <f>T("갓 오브 블랙필드 2부 50화")</f>
        <v>갓 오브 블랙필드 2부 50화</v>
      </c>
      <c r="D1680" t="str">
        <f>T("531")</f>
        <v>531</v>
      </c>
      <c r="E1680" t="str">
        <f t="shared" si="293"/>
        <v>무장</v>
      </c>
      <c r="H1680" t="str">
        <f t="shared" si="292"/>
        <v>스토리위즈</v>
      </c>
      <c r="I1680" t="str">
        <f t="shared" si="290"/>
        <v>갓 오브 블랙필드</v>
      </c>
      <c r="J1680">
        <v>100</v>
      </c>
      <c r="K1680">
        <v>400</v>
      </c>
      <c r="L1680">
        <v>4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400</v>
      </c>
      <c r="AH1680">
        <v>4</v>
      </c>
      <c r="AI1680">
        <v>0</v>
      </c>
      <c r="AJ1680">
        <v>0</v>
      </c>
      <c r="AK1680">
        <v>400</v>
      </c>
      <c r="AL1680">
        <v>0</v>
      </c>
      <c r="AM1680">
        <v>0</v>
      </c>
      <c r="AN1680">
        <v>0</v>
      </c>
      <c r="AO1680">
        <v>0</v>
      </c>
      <c r="AP1680">
        <v>280</v>
      </c>
      <c r="AT1680" t="str">
        <f t="shared" si="291"/>
        <v>9791137602113</v>
      </c>
      <c r="AV1680" t="str">
        <f t="shared" si="294"/>
        <v>판타지 웹소설 &gt; 현대 판타지</v>
      </c>
    </row>
    <row r="1681" spans="1:48" x14ac:dyDescent="0.4">
      <c r="A1681">
        <v>2313011955</v>
      </c>
      <c r="B1681">
        <v>2313012748</v>
      </c>
      <c r="C1681" t="str">
        <f>T("갓 오브 블랙필드 2부 51화")</f>
        <v>갓 오브 블랙필드 2부 51화</v>
      </c>
      <c r="D1681" t="str">
        <f>T("532")</f>
        <v>532</v>
      </c>
      <c r="E1681" t="str">
        <f t="shared" si="293"/>
        <v>무장</v>
      </c>
      <c r="H1681" t="str">
        <f t="shared" si="292"/>
        <v>스토리위즈</v>
      </c>
      <c r="I1681" t="str">
        <f t="shared" si="290"/>
        <v>갓 오브 블랙필드</v>
      </c>
      <c r="J1681">
        <v>100</v>
      </c>
      <c r="K1681">
        <v>400</v>
      </c>
      <c r="L1681">
        <v>4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400</v>
      </c>
      <c r="AH1681">
        <v>4</v>
      </c>
      <c r="AI1681">
        <v>0</v>
      </c>
      <c r="AJ1681">
        <v>0</v>
      </c>
      <c r="AK1681">
        <v>400</v>
      </c>
      <c r="AL1681">
        <v>0</v>
      </c>
      <c r="AM1681">
        <v>0</v>
      </c>
      <c r="AN1681">
        <v>0</v>
      </c>
      <c r="AO1681">
        <v>0</v>
      </c>
      <c r="AP1681">
        <v>280</v>
      </c>
      <c r="AT1681" t="str">
        <f t="shared" si="291"/>
        <v>9791137602113</v>
      </c>
      <c r="AV1681" t="str">
        <f t="shared" si="294"/>
        <v>판타지 웹소설 &gt; 현대 판타지</v>
      </c>
    </row>
    <row r="1682" spans="1:48" x14ac:dyDescent="0.4">
      <c r="A1682">
        <v>2313011955</v>
      </c>
      <c r="B1682">
        <v>2313012749</v>
      </c>
      <c r="C1682" t="str">
        <f>T("갓 오브 블랙필드 2부 52화")</f>
        <v>갓 오브 블랙필드 2부 52화</v>
      </c>
      <c r="D1682" t="str">
        <f>T("533")</f>
        <v>533</v>
      </c>
      <c r="E1682" t="str">
        <f t="shared" si="293"/>
        <v>무장</v>
      </c>
      <c r="H1682" t="str">
        <f t="shared" si="292"/>
        <v>스토리위즈</v>
      </c>
      <c r="I1682" t="str">
        <f t="shared" si="290"/>
        <v>갓 오브 블랙필드</v>
      </c>
      <c r="J1682">
        <v>100</v>
      </c>
      <c r="K1682">
        <v>400</v>
      </c>
      <c r="L1682">
        <v>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400</v>
      </c>
      <c r="AH1682">
        <v>4</v>
      </c>
      <c r="AI1682">
        <v>0</v>
      </c>
      <c r="AJ1682">
        <v>0</v>
      </c>
      <c r="AK1682">
        <v>400</v>
      </c>
      <c r="AL1682">
        <v>0</v>
      </c>
      <c r="AM1682">
        <v>0</v>
      </c>
      <c r="AN1682">
        <v>0</v>
      </c>
      <c r="AO1682">
        <v>0</v>
      </c>
      <c r="AP1682">
        <v>280</v>
      </c>
      <c r="AT1682" t="str">
        <f t="shared" si="291"/>
        <v>9791137602113</v>
      </c>
      <c r="AV1682" t="str">
        <f t="shared" si="294"/>
        <v>판타지 웹소설 &gt; 현대 판타지</v>
      </c>
    </row>
    <row r="1683" spans="1:48" x14ac:dyDescent="0.4">
      <c r="A1683">
        <v>2313011955</v>
      </c>
      <c r="B1683">
        <v>2313012750</v>
      </c>
      <c r="C1683" t="str">
        <f>T("갓 오브 블랙필드 2부 53화")</f>
        <v>갓 오브 블랙필드 2부 53화</v>
      </c>
      <c r="D1683" t="str">
        <f>T("534")</f>
        <v>534</v>
      </c>
      <c r="E1683" t="str">
        <f t="shared" si="293"/>
        <v>무장</v>
      </c>
      <c r="H1683" t="str">
        <f t="shared" si="292"/>
        <v>스토리위즈</v>
      </c>
      <c r="I1683" t="str">
        <f t="shared" si="290"/>
        <v>갓 오브 블랙필드</v>
      </c>
      <c r="J1683">
        <v>100</v>
      </c>
      <c r="K1683">
        <v>400</v>
      </c>
      <c r="L1683">
        <v>4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400</v>
      </c>
      <c r="AH1683">
        <v>4</v>
      </c>
      <c r="AI1683">
        <v>0</v>
      </c>
      <c r="AJ1683">
        <v>0</v>
      </c>
      <c r="AK1683">
        <v>400</v>
      </c>
      <c r="AL1683">
        <v>0</v>
      </c>
      <c r="AM1683">
        <v>0</v>
      </c>
      <c r="AN1683">
        <v>0</v>
      </c>
      <c r="AO1683">
        <v>0</v>
      </c>
      <c r="AP1683">
        <v>280</v>
      </c>
      <c r="AT1683" t="str">
        <f t="shared" si="291"/>
        <v>9791137602113</v>
      </c>
      <c r="AV1683" t="str">
        <f t="shared" si="294"/>
        <v>판타지 웹소설 &gt; 현대 판타지</v>
      </c>
    </row>
    <row r="1684" spans="1:48" x14ac:dyDescent="0.4">
      <c r="A1684">
        <v>2313011955</v>
      </c>
      <c r="B1684">
        <v>2313012751</v>
      </c>
      <c r="C1684" t="str">
        <f>T("갓 오브 블랙필드 2부 54화")</f>
        <v>갓 오브 블랙필드 2부 54화</v>
      </c>
      <c r="D1684" t="str">
        <f>T("535")</f>
        <v>535</v>
      </c>
      <c r="E1684" t="str">
        <f t="shared" si="293"/>
        <v>무장</v>
      </c>
      <c r="H1684" t="str">
        <f t="shared" si="292"/>
        <v>스토리위즈</v>
      </c>
      <c r="I1684" t="str">
        <f t="shared" si="290"/>
        <v>갓 오브 블랙필드</v>
      </c>
      <c r="J1684">
        <v>100</v>
      </c>
      <c r="K1684">
        <v>400</v>
      </c>
      <c r="L1684">
        <v>4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400</v>
      </c>
      <c r="AH1684">
        <v>4</v>
      </c>
      <c r="AI1684">
        <v>0</v>
      </c>
      <c r="AJ1684">
        <v>0</v>
      </c>
      <c r="AK1684">
        <v>400</v>
      </c>
      <c r="AL1684">
        <v>0</v>
      </c>
      <c r="AM1684">
        <v>0</v>
      </c>
      <c r="AN1684">
        <v>0</v>
      </c>
      <c r="AO1684">
        <v>0</v>
      </c>
      <c r="AP1684">
        <v>280</v>
      </c>
      <c r="AT1684" t="str">
        <f t="shared" si="291"/>
        <v>9791137602113</v>
      </c>
      <c r="AV1684" t="str">
        <f t="shared" si="294"/>
        <v>판타지 웹소설 &gt; 현대 판타지</v>
      </c>
    </row>
    <row r="1685" spans="1:48" x14ac:dyDescent="0.4">
      <c r="A1685">
        <v>2313011955</v>
      </c>
      <c r="B1685">
        <v>2313012752</v>
      </c>
      <c r="C1685" t="str">
        <f>T("갓 오브 블랙필드 2부 55화")</f>
        <v>갓 오브 블랙필드 2부 55화</v>
      </c>
      <c r="D1685" t="str">
        <f>T("536")</f>
        <v>536</v>
      </c>
      <c r="E1685" t="str">
        <f t="shared" si="293"/>
        <v>무장</v>
      </c>
      <c r="H1685" t="str">
        <f t="shared" si="292"/>
        <v>스토리위즈</v>
      </c>
      <c r="I1685" t="str">
        <f t="shared" si="290"/>
        <v>갓 오브 블랙필드</v>
      </c>
      <c r="J1685">
        <v>100</v>
      </c>
      <c r="K1685">
        <v>400</v>
      </c>
      <c r="L1685">
        <v>4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400</v>
      </c>
      <c r="AH1685">
        <v>4</v>
      </c>
      <c r="AI1685">
        <v>0</v>
      </c>
      <c r="AJ1685">
        <v>0</v>
      </c>
      <c r="AK1685">
        <v>400</v>
      </c>
      <c r="AL1685">
        <v>0</v>
      </c>
      <c r="AM1685">
        <v>0</v>
      </c>
      <c r="AN1685">
        <v>0</v>
      </c>
      <c r="AO1685">
        <v>0</v>
      </c>
      <c r="AP1685">
        <v>280</v>
      </c>
      <c r="AT1685" t="str">
        <f t="shared" si="291"/>
        <v>9791137602113</v>
      </c>
      <c r="AV1685" t="str">
        <f t="shared" si="294"/>
        <v>판타지 웹소설 &gt; 현대 판타지</v>
      </c>
    </row>
    <row r="1686" spans="1:48" x14ac:dyDescent="0.4">
      <c r="A1686">
        <v>2313011955</v>
      </c>
      <c r="B1686">
        <v>2313012753</v>
      </c>
      <c r="C1686" t="str">
        <f>T("갓 오브 블랙필드 2부 56화")</f>
        <v>갓 오브 블랙필드 2부 56화</v>
      </c>
      <c r="D1686" t="str">
        <f>T("537")</f>
        <v>537</v>
      </c>
      <c r="E1686" t="str">
        <f t="shared" si="293"/>
        <v>무장</v>
      </c>
      <c r="H1686" t="str">
        <f t="shared" si="292"/>
        <v>스토리위즈</v>
      </c>
      <c r="I1686" t="str">
        <f t="shared" si="290"/>
        <v>갓 오브 블랙필드</v>
      </c>
      <c r="J1686">
        <v>100</v>
      </c>
      <c r="K1686">
        <v>400</v>
      </c>
      <c r="L1686">
        <v>4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400</v>
      </c>
      <c r="AH1686">
        <v>4</v>
      </c>
      <c r="AI1686">
        <v>0</v>
      </c>
      <c r="AJ1686">
        <v>0</v>
      </c>
      <c r="AK1686">
        <v>400</v>
      </c>
      <c r="AL1686">
        <v>0</v>
      </c>
      <c r="AM1686">
        <v>0</v>
      </c>
      <c r="AN1686">
        <v>0</v>
      </c>
      <c r="AO1686">
        <v>0</v>
      </c>
      <c r="AP1686">
        <v>280</v>
      </c>
      <c r="AT1686" t="str">
        <f t="shared" si="291"/>
        <v>9791137602113</v>
      </c>
      <c r="AV1686" t="str">
        <f t="shared" si="294"/>
        <v>판타지 웹소설 &gt; 현대 판타지</v>
      </c>
    </row>
    <row r="1687" spans="1:48" x14ac:dyDescent="0.4">
      <c r="A1687">
        <v>2313011955</v>
      </c>
      <c r="B1687">
        <v>2313012754</v>
      </c>
      <c r="C1687" t="str">
        <f>T("갓 오브 블랙필드 2부 57화")</f>
        <v>갓 오브 블랙필드 2부 57화</v>
      </c>
      <c r="D1687" t="str">
        <f>T("538")</f>
        <v>538</v>
      </c>
      <c r="E1687" t="str">
        <f t="shared" si="293"/>
        <v>무장</v>
      </c>
      <c r="H1687" t="str">
        <f t="shared" si="292"/>
        <v>스토리위즈</v>
      </c>
      <c r="I1687" t="str">
        <f t="shared" si="290"/>
        <v>갓 오브 블랙필드</v>
      </c>
      <c r="J1687">
        <v>100</v>
      </c>
      <c r="K1687">
        <v>400</v>
      </c>
      <c r="L1687">
        <v>4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400</v>
      </c>
      <c r="AH1687">
        <v>4</v>
      </c>
      <c r="AI1687">
        <v>0</v>
      </c>
      <c r="AJ1687">
        <v>0</v>
      </c>
      <c r="AK1687">
        <v>400</v>
      </c>
      <c r="AL1687">
        <v>0</v>
      </c>
      <c r="AM1687">
        <v>0</v>
      </c>
      <c r="AN1687">
        <v>0</v>
      </c>
      <c r="AO1687">
        <v>0</v>
      </c>
      <c r="AP1687">
        <v>280</v>
      </c>
      <c r="AT1687" t="str">
        <f t="shared" si="291"/>
        <v>9791137602113</v>
      </c>
      <c r="AV1687" t="str">
        <f t="shared" si="294"/>
        <v>판타지 웹소설 &gt; 현대 판타지</v>
      </c>
    </row>
    <row r="1688" spans="1:48" x14ac:dyDescent="0.4">
      <c r="A1688">
        <v>2313011955</v>
      </c>
      <c r="B1688">
        <v>2313012755</v>
      </c>
      <c r="C1688" t="str">
        <f>T("갓 오브 블랙필드 2부 58화")</f>
        <v>갓 오브 블랙필드 2부 58화</v>
      </c>
      <c r="D1688" t="str">
        <f>T("539")</f>
        <v>539</v>
      </c>
      <c r="E1688" t="str">
        <f t="shared" si="293"/>
        <v>무장</v>
      </c>
      <c r="H1688" t="str">
        <f t="shared" si="292"/>
        <v>스토리위즈</v>
      </c>
      <c r="I1688" t="str">
        <f t="shared" si="290"/>
        <v>갓 오브 블랙필드</v>
      </c>
      <c r="J1688">
        <v>100</v>
      </c>
      <c r="K1688">
        <v>400</v>
      </c>
      <c r="L1688">
        <v>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400</v>
      </c>
      <c r="AH1688">
        <v>4</v>
      </c>
      <c r="AI1688">
        <v>0</v>
      </c>
      <c r="AJ1688">
        <v>0</v>
      </c>
      <c r="AK1688">
        <v>400</v>
      </c>
      <c r="AL1688">
        <v>0</v>
      </c>
      <c r="AM1688">
        <v>0</v>
      </c>
      <c r="AN1688">
        <v>0</v>
      </c>
      <c r="AO1688">
        <v>0</v>
      </c>
      <c r="AP1688">
        <v>280</v>
      </c>
      <c r="AT1688" t="str">
        <f t="shared" si="291"/>
        <v>9791137602113</v>
      </c>
      <c r="AV1688" t="str">
        <f t="shared" si="294"/>
        <v>판타지 웹소설 &gt; 현대 판타지</v>
      </c>
    </row>
    <row r="1689" spans="1:48" x14ac:dyDescent="0.4">
      <c r="A1689">
        <v>2313011955</v>
      </c>
      <c r="B1689">
        <v>2313012756</v>
      </c>
      <c r="C1689" t="str">
        <f>T("갓 오브 블랙필드 2부 59화")</f>
        <v>갓 오브 블랙필드 2부 59화</v>
      </c>
      <c r="D1689" t="str">
        <f>T("540")</f>
        <v>540</v>
      </c>
      <c r="E1689" t="str">
        <f t="shared" si="293"/>
        <v>무장</v>
      </c>
      <c r="H1689" t="str">
        <f t="shared" si="292"/>
        <v>스토리위즈</v>
      </c>
      <c r="I1689" t="str">
        <f t="shared" si="290"/>
        <v>갓 오브 블랙필드</v>
      </c>
      <c r="J1689">
        <v>100</v>
      </c>
      <c r="K1689">
        <v>400</v>
      </c>
      <c r="L1689">
        <v>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400</v>
      </c>
      <c r="AH1689">
        <v>4</v>
      </c>
      <c r="AI1689">
        <v>0</v>
      </c>
      <c r="AJ1689">
        <v>0</v>
      </c>
      <c r="AK1689">
        <v>400</v>
      </c>
      <c r="AL1689">
        <v>0</v>
      </c>
      <c r="AM1689">
        <v>0</v>
      </c>
      <c r="AN1689">
        <v>0</v>
      </c>
      <c r="AO1689">
        <v>0</v>
      </c>
      <c r="AP1689">
        <v>280</v>
      </c>
      <c r="AT1689" t="str">
        <f t="shared" si="291"/>
        <v>9791137602113</v>
      </c>
      <c r="AV1689" t="str">
        <f t="shared" si="294"/>
        <v>판타지 웹소설 &gt; 현대 판타지</v>
      </c>
    </row>
    <row r="1690" spans="1:48" x14ac:dyDescent="0.4">
      <c r="A1690">
        <v>2313011955</v>
      </c>
      <c r="B1690">
        <v>2313012757</v>
      </c>
      <c r="C1690" t="str">
        <f>T("갓 오브 블랙필드 2부 60화")</f>
        <v>갓 오브 블랙필드 2부 60화</v>
      </c>
      <c r="D1690" t="str">
        <f>T("541")</f>
        <v>541</v>
      </c>
      <c r="E1690" t="str">
        <f t="shared" si="293"/>
        <v>무장</v>
      </c>
      <c r="H1690" t="str">
        <f t="shared" si="292"/>
        <v>스토리위즈</v>
      </c>
      <c r="I1690" t="str">
        <f t="shared" si="290"/>
        <v>갓 오브 블랙필드</v>
      </c>
      <c r="J1690">
        <v>100</v>
      </c>
      <c r="K1690">
        <v>400</v>
      </c>
      <c r="L1690">
        <v>4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400</v>
      </c>
      <c r="AH1690">
        <v>4</v>
      </c>
      <c r="AI1690">
        <v>0</v>
      </c>
      <c r="AJ1690">
        <v>0</v>
      </c>
      <c r="AK1690">
        <v>400</v>
      </c>
      <c r="AL1690">
        <v>0</v>
      </c>
      <c r="AM1690">
        <v>0</v>
      </c>
      <c r="AN1690">
        <v>0</v>
      </c>
      <c r="AO1690">
        <v>0</v>
      </c>
      <c r="AP1690">
        <v>280</v>
      </c>
      <c r="AT1690" t="str">
        <f t="shared" si="291"/>
        <v>9791137602113</v>
      </c>
      <c r="AV1690" t="str">
        <f t="shared" si="294"/>
        <v>판타지 웹소설 &gt; 현대 판타지</v>
      </c>
    </row>
    <row r="1691" spans="1:48" x14ac:dyDescent="0.4">
      <c r="A1691">
        <v>2313011955</v>
      </c>
      <c r="B1691">
        <v>2313012758</v>
      </c>
      <c r="C1691" t="str">
        <f>T("갓 오브 블랙필드 2부 61화")</f>
        <v>갓 오브 블랙필드 2부 61화</v>
      </c>
      <c r="D1691" t="str">
        <f>T("542")</f>
        <v>542</v>
      </c>
      <c r="E1691" t="str">
        <f t="shared" si="293"/>
        <v>무장</v>
      </c>
      <c r="H1691" t="str">
        <f t="shared" si="292"/>
        <v>스토리위즈</v>
      </c>
      <c r="I1691" t="str">
        <f t="shared" si="290"/>
        <v>갓 오브 블랙필드</v>
      </c>
      <c r="J1691">
        <v>100</v>
      </c>
      <c r="K1691">
        <v>400</v>
      </c>
      <c r="L1691">
        <v>4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400</v>
      </c>
      <c r="AH1691">
        <v>4</v>
      </c>
      <c r="AI1691">
        <v>0</v>
      </c>
      <c r="AJ1691">
        <v>0</v>
      </c>
      <c r="AK1691">
        <v>400</v>
      </c>
      <c r="AL1691">
        <v>0</v>
      </c>
      <c r="AM1691">
        <v>0</v>
      </c>
      <c r="AN1691">
        <v>0</v>
      </c>
      <c r="AO1691">
        <v>0</v>
      </c>
      <c r="AP1691">
        <v>280</v>
      </c>
      <c r="AT1691" t="str">
        <f t="shared" si="291"/>
        <v>9791137602113</v>
      </c>
      <c r="AV1691" t="str">
        <f t="shared" si="294"/>
        <v>판타지 웹소설 &gt; 현대 판타지</v>
      </c>
    </row>
    <row r="1692" spans="1:48" x14ac:dyDescent="0.4">
      <c r="A1692">
        <v>2313011955</v>
      </c>
      <c r="B1692">
        <v>2313012759</v>
      </c>
      <c r="C1692" t="str">
        <f>T("갓 오브 블랙필드 2부 62화")</f>
        <v>갓 오브 블랙필드 2부 62화</v>
      </c>
      <c r="D1692" t="str">
        <f>T("543")</f>
        <v>543</v>
      </c>
      <c r="E1692" t="str">
        <f t="shared" si="293"/>
        <v>무장</v>
      </c>
      <c r="H1692" t="str">
        <f t="shared" si="292"/>
        <v>스토리위즈</v>
      </c>
      <c r="I1692" t="str">
        <f t="shared" si="290"/>
        <v>갓 오브 블랙필드</v>
      </c>
      <c r="J1692">
        <v>100</v>
      </c>
      <c r="K1692">
        <v>400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400</v>
      </c>
      <c r="AH1692">
        <v>4</v>
      </c>
      <c r="AI1692">
        <v>0</v>
      </c>
      <c r="AJ1692">
        <v>0</v>
      </c>
      <c r="AK1692">
        <v>400</v>
      </c>
      <c r="AL1692">
        <v>0</v>
      </c>
      <c r="AM1692">
        <v>0</v>
      </c>
      <c r="AN1692">
        <v>0</v>
      </c>
      <c r="AO1692">
        <v>0</v>
      </c>
      <c r="AP1692">
        <v>280</v>
      </c>
      <c r="AT1692" t="str">
        <f t="shared" si="291"/>
        <v>9791137602113</v>
      </c>
      <c r="AV1692" t="str">
        <f t="shared" si="294"/>
        <v>판타지 웹소설 &gt; 현대 판타지</v>
      </c>
    </row>
    <row r="1693" spans="1:48" x14ac:dyDescent="0.4">
      <c r="A1693">
        <v>2313011955</v>
      </c>
      <c r="B1693">
        <v>2313012760</v>
      </c>
      <c r="C1693" t="str">
        <f>T("갓 오브 블랙필드 2부 63화")</f>
        <v>갓 오브 블랙필드 2부 63화</v>
      </c>
      <c r="D1693" t="str">
        <f>T("544")</f>
        <v>544</v>
      </c>
      <c r="E1693" t="str">
        <f t="shared" si="293"/>
        <v>무장</v>
      </c>
      <c r="H1693" t="str">
        <f t="shared" si="292"/>
        <v>스토리위즈</v>
      </c>
      <c r="I1693" t="str">
        <f t="shared" si="290"/>
        <v>갓 오브 블랙필드</v>
      </c>
      <c r="J1693">
        <v>100</v>
      </c>
      <c r="K1693">
        <v>400</v>
      </c>
      <c r="L1693">
        <v>4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400</v>
      </c>
      <c r="AH1693">
        <v>4</v>
      </c>
      <c r="AI1693">
        <v>0</v>
      </c>
      <c r="AJ1693">
        <v>0</v>
      </c>
      <c r="AK1693">
        <v>400</v>
      </c>
      <c r="AL1693">
        <v>0</v>
      </c>
      <c r="AM1693">
        <v>0</v>
      </c>
      <c r="AN1693">
        <v>0</v>
      </c>
      <c r="AO1693">
        <v>0</v>
      </c>
      <c r="AP1693">
        <v>280</v>
      </c>
      <c r="AT1693" t="str">
        <f t="shared" si="291"/>
        <v>9791137602113</v>
      </c>
      <c r="AV1693" t="str">
        <f t="shared" si="294"/>
        <v>판타지 웹소설 &gt; 현대 판타지</v>
      </c>
    </row>
    <row r="1694" spans="1:48" x14ac:dyDescent="0.4">
      <c r="A1694">
        <v>2313011955</v>
      </c>
      <c r="B1694">
        <v>2313012761</v>
      </c>
      <c r="C1694" t="str">
        <f>T("갓 오브 블랙필드 2부 64화")</f>
        <v>갓 오브 블랙필드 2부 64화</v>
      </c>
      <c r="D1694" t="str">
        <f>T("545")</f>
        <v>545</v>
      </c>
      <c r="E1694" t="str">
        <f t="shared" si="293"/>
        <v>무장</v>
      </c>
      <c r="H1694" t="str">
        <f t="shared" si="292"/>
        <v>스토리위즈</v>
      </c>
      <c r="I1694" t="str">
        <f t="shared" si="290"/>
        <v>갓 오브 블랙필드</v>
      </c>
      <c r="J1694">
        <v>100</v>
      </c>
      <c r="K1694">
        <v>400</v>
      </c>
      <c r="L1694">
        <v>4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400</v>
      </c>
      <c r="AH1694">
        <v>4</v>
      </c>
      <c r="AI1694">
        <v>0</v>
      </c>
      <c r="AJ1694">
        <v>0</v>
      </c>
      <c r="AK1694">
        <v>400</v>
      </c>
      <c r="AL1694">
        <v>0</v>
      </c>
      <c r="AM1694">
        <v>0</v>
      </c>
      <c r="AN1694">
        <v>0</v>
      </c>
      <c r="AO1694">
        <v>0</v>
      </c>
      <c r="AP1694">
        <v>280</v>
      </c>
      <c r="AT1694" t="str">
        <f t="shared" si="291"/>
        <v>9791137602113</v>
      </c>
      <c r="AV1694" t="str">
        <f t="shared" si="294"/>
        <v>판타지 웹소설 &gt; 현대 판타지</v>
      </c>
    </row>
    <row r="1695" spans="1:48" x14ac:dyDescent="0.4">
      <c r="A1695">
        <v>2313011955</v>
      </c>
      <c r="B1695">
        <v>2313012762</v>
      </c>
      <c r="C1695" t="str">
        <f>T("갓 오브 블랙필드 2부 65화")</f>
        <v>갓 오브 블랙필드 2부 65화</v>
      </c>
      <c r="D1695" t="str">
        <f>T("546")</f>
        <v>546</v>
      </c>
      <c r="E1695" t="str">
        <f t="shared" si="293"/>
        <v>무장</v>
      </c>
      <c r="H1695" t="str">
        <f t="shared" si="292"/>
        <v>스토리위즈</v>
      </c>
      <c r="I1695" t="str">
        <f t="shared" si="290"/>
        <v>갓 오브 블랙필드</v>
      </c>
      <c r="J1695">
        <v>100</v>
      </c>
      <c r="K1695">
        <v>400</v>
      </c>
      <c r="L1695">
        <v>4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400</v>
      </c>
      <c r="AH1695">
        <v>4</v>
      </c>
      <c r="AI1695">
        <v>0</v>
      </c>
      <c r="AJ1695">
        <v>0</v>
      </c>
      <c r="AK1695">
        <v>400</v>
      </c>
      <c r="AL1695">
        <v>0</v>
      </c>
      <c r="AM1695">
        <v>0</v>
      </c>
      <c r="AN1695">
        <v>0</v>
      </c>
      <c r="AO1695">
        <v>0</v>
      </c>
      <c r="AP1695">
        <v>280</v>
      </c>
      <c r="AT1695" t="str">
        <f t="shared" si="291"/>
        <v>9791137602113</v>
      </c>
      <c r="AV1695" t="str">
        <f t="shared" si="294"/>
        <v>판타지 웹소설 &gt; 현대 판타지</v>
      </c>
    </row>
    <row r="1696" spans="1:48" x14ac:dyDescent="0.4">
      <c r="A1696">
        <v>2313011955</v>
      </c>
      <c r="B1696">
        <v>2313012763</v>
      </c>
      <c r="C1696" t="str">
        <f>T("갓 오브 블랙필드 2부 66화")</f>
        <v>갓 오브 블랙필드 2부 66화</v>
      </c>
      <c r="D1696" t="str">
        <f>T("547")</f>
        <v>547</v>
      </c>
      <c r="E1696" t="str">
        <f t="shared" si="293"/>
        <v>무장</v>
      </c>
      <c r="H1696" t="str">
        <f t="shared" si="292"/>
        <v>스토리위즈</v>
      </c>
      <c r="I1696" t="str">
        <f t="shared" si="290"/>
        <v>갓 오브 블랙필드</v>
      </c>
      <c r="J1696">
        <v>100</v>
      </c>
      <c r="K1696">
        <v>400</v>
      </c>
      <c r="L1696">
        <v>4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400</v>
      </c>
      <c r="AH1696">
        <v>4</v>
      </c>
      <c r="AI1696">
        <v>0</v>
      </c>
      <c r="AJ1696">
        <v>0</v>
      </c>
      <c r="AK1696">
        <v>400</v>
      </c>
      <c r="AL1696">
        <v>0</v>
      </c>
      <c r="AM1696">
        <v>0</v>
      </c>
      <c r="AN1696">
        <v>0</v>
      </c>
      <c r="AO1696">
        <v>0</v>
      </c>
      <c r="AP1696">
        <v>280</v>
      </c>
      <c r="AT1696" t="str">
        <f t="shared" si="291"/>
        <v>9791137602113</v>
      </c>
      <c r="AV1696" t="str">
        <f t="shared" si="294"/>
        <v>판타지 웹소설 &gt; 현대 판타지</v>
      </c>
    </row>
    <row r="1697" spans="1:48" x14ac:dyDescent="0.4">
      <c r="A1697">
        <v>2313011955</v>
      </c>
      <c r="B1697">
        <v>2313012764</v>
      </c>
      <c r="C1697" t="str">
        <f>T("갓 오브 블랙필드 2부 67화")</f>
        <v>갓 오브 블랙필드 2부 67화</v>
      </c>
      <c r="D1697" t="str">
        <f>T("548")</f>
        <v>548</v>
      </c>
      <c r="E1697" t="str">
        <f t="shared" si="293"/>
        <v>무장</v>
      </c>
      <c r="H1697" t="str">
        <f t="shared" si="292"/>
        <v>스토리위즈</v>
      </c>
      <c r="I1697" t="str">
        <f t="shared" si="290"/>
        <v>갓 오브 블랙필드</v>
      </c>
      <c r="J1697">
        <v>100</v>
      </c>
      <c r="K1697">
        <v>400</v>
      </c>
      <c r="L1697">
        <v>4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400</v>
      </c>
      <c r="AH1697">
        <v>4</v>
      </c>
      <c r="AI1697">
        <v>0</v>
      </c>
      <c r="AJ1697">
        <v>0</v>
      </c>
      <c r="AK1697">
        <v>400</v>
      </c>
      <c r="AL1697">
        <v>0</v>
      </c>
      <c r="AM1697">
        <v>0</v>
      </c>
      <c r="AN1697">
        <v>0</v>
      </c>
      <c r="AO1697">
        <v>0</v>
      </c>
      <c r="AP1697">
        <v>280</v>
      </c>
      <c r="AT1697" t="str">
        <f t="shared" si="291"/>
        <v>9791137602113</v>
      </c>
      <c r="AV1697" t="str">
        <f t="shared" si="294"/>
        <v>판타지 웹소설 &gt; 현대 판타지</v>
      </c>
    </row>
    <row r="1698" spans="1:48" x14ac:dyDescent="0.4">
      <c r="A1698">
        <v>2313011955</v>
      </c>
      <c r="B1698">
        <v>2313012765</v>
      </c>
      <c r="C1698" t="str">
        <f>T("갓 오브 블랙필드 2부 68화")</f>
        <v>갓 오브 블랙필드 2부 68화</v>
      </c>
      <c r="D1698" t="str">
        <f>T("549")</f>
        <v>549</v>
      </c>
      <c r="E1698" t="str">
        <f t="shared" si="293"/>
        <v>무장</v>
      </c>
      <c r="H1698" t="str">
        <f t="shared" si="292"/>
        <v>스토리위즈</v>
      </c>
      <c r="I1698" t="str">
        <f t="shared" si="290"/>
        <v>갓 오브 블랙필드</v>
      </c>
      <c r="J1698">
        <v>100</v>
      </c>
      <c r="K1698">
        <v>400</v>
      </c>
      <c r="L1698">
        <v>4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400</v>
      </c>
      <c r="AH1698">
        <v>4</v>
      </c>
      <c r="AI1698">
        <v>0</v>
      </c>
      <c r="AJ1698">
        <v>0</v>
      </c>
      <c r="AK1698">
        <v>400</v>
      </c>
      <c r="AL1698">
        <v>0</v>
      </c>
      <c r="AM1698">
        <v>0</v>
      </c>
      <c r="AN1698">
        <v>0</v>
      </c>
      <c r="AO1698">
        <v>0</v>
      </c>
      <c r="AP1698">
        <v>280</v>
      </c>
      <c r="AT1698" t="str">
        <f t="shared" si="291"/>
        <v>9791137602113</v>
      </c>
      <c r="AV1698" t="str">
        <f t="shared" si="294"/>
        <v>판타지 웹소설 &gt; 현대 판타지</v>
      </c>
    </row>
    <row r="1699" spans="1:48" x14ac:dyDescent="0.4">
      <c r="A1699">
        <v>2313011955</v>
      </c>
      <c r="B1699">
        <v>2313012766</v>
      </c>
      <c r="C1699" t="str">
        <f>T("갓 오브 블랙필드 2부 69화")</f>
        <v>갓 오브 블랙필드 2부 69화</v>
      </c>
      <c r="D1699" t="str">
        <f>T("550")</f>
        <v>550</v>
      </c>
      <c r="E1699" t="str">
        <f t="shared" si="293"/>
        <v>무장</v>
      </c>
      <c r="H1699" t="str">
        <f t="shared" si="292"/>
        <v>스토리위즈</v>
      </c>
      <c r="I1699" t="str">
        <f t="shared" si="290"/>
        <v>갓 오브 블랙필드</v>
      </c>
      <c r="J1699">
        <v>100</v>
      </c>
      <c r="K1699">
        <v>400</v>
      </c>
      <c r="L1699">
        <v>4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400</v>
      </c>
      <c r="AH1699">
        <v>4</v>
      </c>
      <c r="AI1699">
        <v>0</v>
      </c>
      <c r="AJ1699">
        <v>0</v>
      </c>
      <c r="AK1699">
        <v>400</v>
      </c>
      <c r="AL1699">
        <v>0</v>
      </c>
      <c r="AM1699">
        <v>0</v>
      </c>
      <c r="AN1699">
        <v>0</v>
      </c>
      <c r="AO1699">
        <v>0</v>
      </c>
      <c r="AP1699">
        <v>280</v>
      </c>
      <c r="AT1699" t="str">
        <f t="shared" si="291"/>
        <v>9791137602113</v>
      </c>
      <c r="AV1699" t="str">
        <f t="shared" si="294"/>
        <v>판타지 웹소설 &gt; 현대 판타지</v>
      </c>
    </row>
    <row r="1700" spans="1:48" x14ac:dyDescent="0.4">
      <c r="A1700">
        <v>2313011955</v>
      </c>
      <c r="B1700">
        <v>2313012767</v>
      </c>
      <c r="C1700" t="str">
        <f>T("갓 오브 블랙필드 2부 70화")</f>
        <v>갓 오브 블랙필드 2부 70화</v>
      </c>
      <c r="D1700" t="str">
        <f>T("551")</f>
        <v>551</v>
      </c>
      <c r="E1700" t="str">
        <f t="shared" si="293"/>
        <v>무장</v>
      </c>
      <c r="H1700" t="str">
        <f t="shared" si="292"/>
        <v>스토리위즈</v>
      </c>
      <c r="I1700" t="str">
        <f t="shared" ref="I1700:I1729" si="295">T("갓 오브 블랙필드")</f>
        <v>갓 오브 블랙필드</v>
      </c>
      <c r="J1700">
        <v>100</v>
      </c>
      <c r="K1700">
        <v>400</v>
      </c>
      <c r="L1700">
        <v>4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400</v>
      </c>
      <c r="AH1700">
        <v>4</v>
      </c>
      <c r="AI1700">
        <v>0</v>
      </c>
      <c r="AJ1700">
        <v>0</v>
      </c>
      <c r="AK1700">
        <v>400</v>
      </c>
      <c r="AL1700">
        <v>0</v>
      </c>
      <c r="AM1700">
        <v>0</v>
      </c>
      <c r="AN1700">
        <v>0</v>
      </c>
      <c r="AO1700">
        <v>0</v>
      </c>
      <c r="AP1700">
        <v>280</v>
      </c>
      <c r="AT1700" t="str">
        <f t="shared" ref="AT1700:AT1729" si="296">T("9791137602113")</f>
        <v>9791137602113</v>
      </c>
      <c r="AV1700" t="str">
        <f t="shared" si="294"/>
        <v>판타지 웹소설 &gt; 현대 판타지</v>
      </c>
    </row>
    <row r="1701" spans="1:48" x14ac:dyDescent="0.4">
      <c r="A1701">
        <v>2313011955</v>
      </c>
      <c r="B1701">
        <v>2313012768</v>
      </c>
      <c r="C1701" t="str">
        <f>T("갓 오브 블랙필드 2부 71화")</f>
        <v>갓 오브 블랙필드 2부 71화</v>
      </c>
      <c r="D1701" t="str">
        <f>T("552")</f>
        <v>552</v>
      </c>
      <c r="E1701" t="str">
        <f t="shared" si="293"/>
        <v>무장</v>
      </c>
      <c r="H1701" t="str">
        <f t="shared" si="292"/>
        <v>스토리위즈</v>
      </c>
      <c r="I1701" t="str">
        <f t="shared" si="295"/>
        <v>갓 오브 블랙필드</v>
      </c>
      <c r="J1701">
        <v>100</v>
      </c>
      <c r="K1701">
        <v>400</v>
      </c>
      <c r="L1701">
        <v>4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400</v>
      </c>
      <c r="AH1701">
        <v>4</v>
      </c>
      <c r="AI1701">
        <v>0</v>
      </c>
      <c r="AJ1701">
        <v>0</v>
      </c>
      <c r="AK1701">
        <v>400</v>
      </c>
      <c r="AL1701">
        <v>0</v>
      </c>
      <c r="AM1701">
        <v>0</v>
      </c>
      <c r="AN1701">
        <v>0</v>
      </c>
      <c r="AO1701">
        <v>0</v>
      </c>
      <c r="AP1701">
        <v>280</v>
      </c>
      <c r="AT1701" t="str">
        <f t="shared" si="296"/>
        <v>9791137602113</v>
      </c>
      <c r="AV1701" t="str">
        <f t="shared" si="294"/>
        <v>판타지 웹소설 &gt; 현대 판타지</v>
      </c>
    </row>
    <row r="1702" spans="1:48" x14ac:dyDescent="0.4">
      <c r="A1702">
        <v>2313011955</v>
      </c>
      <c r="B1702">
        <v>2313012769</v>
      </c>
      <c r="C1702" t="str">
        <f>T("갓 오브 블랙필드 2부 72화")</f>
        <v>갓 오브 블랙필드 2부 72화</v>
      </c>
      <c r="D1702" t="str">
        <f>T("553")</f>
        <v>553</v>
      </c>
      <c r="E1702" t="str">
        <f t="shared" si="293"/>
        <v>무장</v>
      </c>
      <c r="H1702" t="str">
        <f t="shared" si="292"/>
        <v>스토리위즈</v>
      </c>
      <c r="I1702" t="str">
        <f t="shared" si="295"/>
        <v>갓 오브 블랙필드</v>
      </c>
      <c r="J1702">
        <v>100</v>
      </c>
      <c r="K1702">
        <v>400</v>
      </c>
      <c r="L1702">
        <v>4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400</v>
      </c>
      <c r="AH1702">
        <v>4</v>
      </c>
      <c r="AI1702">
        <v>0</v>
      </c>
      <c r="AJ1702">
        <v>0</v>
      </c>
      <c r="AK1702">
        <v>400</v>
      </c>
      <c r="AL1702">
        <v>0</v>
      </c>
      <c r="AM1702">
        <v>0</v>
      </c>
      <c r="AN1702">
        <v>0</v>
      </c>
      <c r="AO1702">
        <v>0</v>
      </c>
      <c r="AP1702">
        <v>280</v>
      </c>
      <c r="AT1702" t="str">
        <f t="shared" si="296"/>
        <v>9791137602113</v>
      </c>
      <c r="AV1702" t="str">
        <f t="shared" si="294"/>
        <v>판타지 웹소설 &gt; 현대 판타지</v>
      </c>
    </row>
    <row r="1703" spans="1:48" x14ac:dyDescent="0.4">
      <c r="A1703">
        <v>2313011955</v>
      </c>
      <c r="B1703">
        <v>2313012770</v>
      </c>
      <c r="C1703" t="str">
        <f>T("갓 오브 블랙필드 2부 73화")</f>
        <v>갓 오브 블랙필드 2부 73화</v>
      </c>
      <c r="D1703" t="str">
        <f>T("554")</f>
        <v>554</v>
      </c>
      <c r="E1703" t="str">
        <f t="shared" si="293"/>
        <v>무장</v>
      </c>
      <c r="H1703" t="str">
        <f t="shared" si="292"/>
        <v>스토리위즈</v>
      </c>
      <c r="I1703" t="str">
        <f t="shared" si="295"/>
        <v>갓 오브 블랙필드</v>
      </c>
      <c r="J1703">
        <v>100</v>
      </c>
      <c r="K1703">
        <v>400</v>
      </c>
      <c r="L1703">
        <v>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400</v>
      </c>
      <c r="AH1703">
        <v>4</v>
      </c>
      <c r="AI1703">
        <v>0</v>
      </c>
      <c r="AJ1703">
        <v>0</v>
      </c>
      <c r="AK1703">
        <v>400</v>
      </c>
      <c r="AL1703">
        <v>0</v>
      </c>
      <c r="AM1703">
        <v>0</v>
      </c>
      <c r="AN1703">
        <v>0</v>
      </c>
      <c r="AO1703">
        <v>0</v>
      </c>
      <c r="AP1703">
        <v>280</v>
      </c>
      <c r="AT1703" t="str">
        <f t="shared" si="296"/>
        <v>9791137602113</v>
      </c>
      <c r="AV1703" t="str">
        <f t="shared" si="294"/>
        <v>판타지 웹소설 &gt; 현대 판타지</v>
      </c>
    </row>
    <row r="1704" spans="1:48" x14ac:dyDescent="0.4">
      <c r="A1704">
        <v>2313011955</v>
      </c>
      <c r="B1704">
        <v>2313012771</v>
      </c>
      <c r="C1704" t="str">
        <f>T("갓 오브 블랙필드 2부 74화")</f>
        <v>갓 오브 블랙필드 2부 74화</v>
      </c>
      <c r="D1704" t="str">
        <f>T("555")</f>
        <v>555</v>
      </c>
      <c r="E1704" t="str">
        <f t="shared" si="293"/>
        <v>무장</v>
      </c>
      <c r="H1704" t="str">
        <f t="shared" si="292"/>
        <v>스토리위즈</v>
      </c>
      <c r="I1704" t="str">
        <f t="shared" si="295"/>
        <v>갓 오브 블랙필드</v>
      </c>
      <c r="J1704">
        <v>100</v>
      </c>
      <c r="K1704">
        <v>400</v>
      </c>
      <c r="L1704">
        <v>4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400</v>
      </c>
      <c r="AH1704">
        <v>4</v>
      </c>
      <c r="AI1704">
        <v>0</v>
      </c>
      <c r="AJ1704">
        <v>0</v>
      </c>
      <c r="AK1704">
        <v>400</v>
      </c>
      <c r="AL1704">
        <v>0</v>
      </c>
      <c r="AM1704">
        <v>0</v>
      </c>
      <c r="AN1704">
        <v>0</v>
      </c>
      <c r="AO1704">
        <v>0</v>
      </c>
      <c r="AP1704">
        <v>280</v>
      </c>
      <c r="AT1704" t="str">
        <f t="shared" si="296"/>
        <v>9791137602113</v>
      </c>
      <c r="AV1704" t="str">
        <f t="shared" si="294"/>
        <v>판타지 웹소설 &gt; 현대 판타지</v>
      </c>
    </row>
    <row r="1705" spans="1:48" x14ac:dyDescent="0.4">
      <c r="A1705">
        <v>2313011955</v>
      </c>
      <c r="B1705">
        <v>2313012772</v>
      </c>
      <c r="C1705" t="str">
        <f>T("갓 오브 블랙필드 2부 75화")</f>
        <v>갓 오브 블랙필드 2부 75화</v>
      </c>
      <c r="D1705" t="str">
        <f>T("556")</f>
        <v>556</v>
      </c>
      <c r="E1705" t="str">
        <f t="shared" si="293"/>
        <v>무장</v>
      </c>
      <c r="H1705" t="str">
        <f t="shared" si="292"/>
        <v>스토리위즈</v>
      </c>
      <c r="I1705" t="str">
        <f t="shared" si="295"/>
        <v>갓 오브 블랙필드</v>
      </c>
      <c r="J1705">
        <v>100</v>
      </c>
      <c r="K1705">
        <v>400</v>
      </c>
      <c r="L1705">
        <v>4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400</v>
      </c>
      <c r="AH1705">
        <v>4</v>
      </c>
      <c r="AI1705">
        <v>0</v>
      </c>
      <c r="AJ1705">
        <v>0</v>
      </c>
      <c r="AK1705">
        <v>400</v>
      </c>
      <c r="AL1705">
        <v>0</v>
      </c>
      <c r="AM1705">
        <v>0</v>
      </c>
      <c r="AN1705">
        <v>0</v>
      </c>
      <c r="AO1705">
        <v>0</v>
      </c>
      <c r="AP1705">
        <v>280</v>
      </c>
      <c r="AT1705" t="str">
        <f t="shared" si="296"/>
        <v>9791137602113</v>
      </c>
      <c r="AV1705" t="str">
        <f t="shared" si="294"/>
        <v>판타지 웹소설 &gt; 현대 판타지</v>
      </c>
    </row>
    <row r="1706" spans="1:48" x14ac:dyDescent="0.4">
      <c r="A1706">
        <v>2313011955</v>
      </c>
      <c r="B1706">
        <v>2313012773</v>
      </c>
      <c r="C1706" t="str">
        <f>T("갓 오브 블랙필드 2부 76화")</f>
        <v>갓 오브 블랙필드 2부 76화</v>
      </c>
      <c r="D1706" t="str">
        <f>T("557")</f>
        <v>557</v>
      </c>
      <c r="E1706" t="str">
        <f t="shared" si="293"/>
        <v>무장</v>
      </c>
      <c r="H1706" t="str">
        <f t="shared" si="292"/>
        <v>스토리위즈</v>
      </c>
      <c r="I1706" t="str">
        <f t="shared" si="295"/>
        <v>갓 오브 블랙필드</v>
      </c>
      <c r="J1706">
        <v>100</v>
      </c>
      <c r="K1706">
        <v>400</v>
      </c>
      <c r="L1706">
        <v>4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400</v>
      </c>
      <c r="AH1706">
        <v>4</v>
      </c>
      <c r="AI1706">
        <v>0</v>
      </c>
      <c r="AJ1706">
        <v>0</v>
      </c>
      <c r="AK1706">
        <v>400</v>
      </c>
      <c r="AL1706">
        <v>0</v>
      </c>
      <c r="AM1706">
        <v>0</v>
      </c>
      <c r="AN1706">
        <v>0</v>
      </c>
      <c r="AO1706">
        <v>0</v>
      </c>
      <c r="AP1706">
        <v>280</v>
      </c>
      <c r="AT1706" t="str">
        <f t="shared" si="296"/>
        <v>9791137602113</v>
      </c>
      <c r="AV1706" t="str">
        <f t="shared" si="294"/>
        <v>판타지 웹소설 &gt; 현대 판타지</v>
      </c>
    </row>
    <row r="1707" spans="1:48" x14ac:dyDescent="0.4">
      <c r="A1707">
        <v>2313011955</v>
      </c>
      <c r="B1707">
        <v>2313012774</v>
      </c>
      <c r="C1707" t="str">
        <f>T("갓 오브 블랙필드 2부 77화")</f>
        <v>갓 오브 블랙필드 2부 77화</v>
      </c>
      <c r="D1707" t="str">
        <f>T("558")</f>
        <v>558</v>
      </c>
      <c r="E1707" t="str">
        <f t="shared" si="293"/>
        <v>무장</v>
      </c>
      <c r="H1707" t="str">
        <f t="shared" si="292"/>
        <v>스토리위즈</v>
      </c>
      <c r="I1707" t="str">
        <f t="shared" si="295"/>
        <v>갓 오브 블랙필드</v>
      </c>
      <c r="J1707">
        <v>100</v>
      </c>
      <c r="K1707">
        <v>400</v>
      </c>
      <c r="L1707">
        <v>4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400</v>
      </c>
      <c r="AH1707">
        <v>4</v>
      </c>
      <c r="AI1707">
        <v>0</v>
      </c>
      <c r="AJ1707">
        <v>0</v>
      </c>
      <c r="AK1707">
        <v>400</v>
      </c>
      <c r="AL1707">
        <v>0</v>
      </c>
      <c r="AM1707">
        <v>0</v>
      </c>
      <c r="AN1707">
        <v>0</v>
      </c>
      <c r="AO1707">
        <v>0</v>
      </c>
      <c r="AP1707">
        <v>280</v>
      </c>
      <c r="AT1707" t="str">
        <f t="shared" si="296"/>
        <v>9791137602113</v>
      </c>
      <c r="AV1707" t="str">
        <f t="shared" si="294"/>
        <v>판타지 웹소설 &gt; 현대 판타지</v>
      </c>
    </row>
    <row r="1708" spans="1:48" x14ac:dyDescent="0.4">
      <c r="A1708">
        <v>2313011955</v>
      </c>
      <c r="B1708">
        <v>2313012775</v>
      </c>
      <c r="C1708" t="str">
        <f>T("갓 오브 블랙필드 2부 78화")</f>
        <v>갓 오브 블랙필드 2부 78화</v>
      </c>
      <c r="D1708" t="str">
        <f>T("559")</f>
        <v>559</v>
      </c>
      <c r="E1708" t="str">
        <f t="shared" si="293"/>
        <v>무장</v>
      </c>
      <c r="H1708" t="str">
        <f t="shared" si="292"/>
        <v>스토리위즈</v>
      </c>
      <c r="I1708" t="str">
        <f t="shared" si="295"/>
        <v>갓 오브 블랙필드</v>
      </c>
      <c r="J1708">
        <v>100</v>
      </c>
      <c r="K1708">
        <v>400</v>
      </c>
      <c r="L1708">
        <v>4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400</v>
      </c>
      <c r="AH1708">
        <v>4</v>
      </c>
      <c r="AI1708">
        <v>0</v>
      </c>
      <c r="AJ1708">
        <v>0</v>
      </c>
      <c r="AK1708">
        <v>400</v>
      </c>
      <c r="AL1708">
        <v>0</v>
      </c>
      <c r="AM1708">
        <v>0</v>
      </c>
      <c r="AN1708">
        <v>0</v>
      </c>
      <c r="AO1708">
        <v>0</v>
      </c>
      <c r="AP1708">
        <v>280</v>
      </c>
      <c r="AT1708" t="str">
        <f t="shared" si="296"/>
        <v>9791137602113</v>
      </c>
      <c r="AV1708" t="str">
        <f t="shared" si="294"/>
        <v>판타지 웹소설 &gt; 현대 판타지</v>
      </c>
    </row>
    <row r="1709" spans="1:48" x14ac:dyDescent="0.4">
      <c r="A1709">
        <v>2313011955</v>
      </c>
      <c r="B1709">
        <v>2313012776</v>
      </c>
      <c r="C1709" t="str">
        <f>T("갓 오브 블랙필드 2부 79화")</f>
        <v>갓 오브 블랙필드 2부 79화</v>
      </c>
      <c r="D1709" t="str">
        <f>T("560")</f>
        <v>560</v>
      </c>
      <c r="E1709" t="str">
        <f t="shared" si="293"/>
        <v>무장</v>
      </c>
      <c r="H1709" t="str">
        <f t="shared" si="292"/>
        <v>스토리위즈</v>
      </c>
      <c r="I1709" t="str">
        <f t="shared" si="295"/>
        <v>갓 오브 블랙필드</v>
      </c>
      <c r="J1709">
        <v>100</v>
      </c>
      <c r="K1709">
        <v>400</v>
      </c>
      <c r="L1709">
        <v>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400</v>
      </c>
      <c r="AH1709">
        <v>4</v>
      </c>
      <c r="AI1709">
        <v>0</v>
      </c>
      <c r="AJ1709">
        <v>0</v>
      </c>
      <c r="AK1709">
        <v>400</v>
      </c>
      <c r="AL1709">
        <v>0</v>
      </c>
      <c r="AM1709">
        <v>0</v>
      </c>
      <c r="AN1709">
        <v>0</v>
      </c>
      <c r="AO1709">
        <v>0</v>
      </c>
      <c r="AP1709">
        <v>280</v>
      </c>
      <c r="AT1709" t="str">
        <f t="shared" si="296"/>
        <v>9791137602113</v>
      </c>
      <c r="AV1709" t="str">
        <f t="shared" si="294"/>
        <v>판타지 웹소설 &gt; 현대 판타지</v>
      </c>
    </row>
    <row r="1710" spans="1:48" x14ac:dyDescent="0.4">
      <c r="A1710">
        <v>2313011955</v>
      </c>
      <c r="B1710">
        <v>2313012777</v>
      </c>
      <c r="C1710" t="str">
        <f>T("갓 오브 블랙필드 2부 80화")</f>
        <v>갓 오브 블랙필드 2부 80화</v>
      </c>
      <c r="D1710" t="str">
        <f>T("561")</f>
        <v>561</v>
      </c>
      <c r="E1710" t="str">
        <f t="shared" si="293"/>
        <v>무장</v>
      </c>
      <c r="H1710" t="str">
        <f t="shared" si="292"/>
        <v>스토리위즈</v>
      </c>
      <c r="I1710" t="str">
        <f t="shared" si="295"/>
        <v>갓 오브 블랙필드</v>
      </c>
      <c r="J1710">
        <v>100</v>
      </c>
      <c r="K1710">
        <v>400</v>
      </c>
      <c r="L1710">
        <v>4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400</v>
      </c>
      <c r="AH1710">
        <v>4</v>
      </c>
      <c r="AI1710">
        <v>0</v>
      </c>
      <c r="AJ1710">
        <v>0</v>
      </c>
      <c r="AK1710">
        <v>400</v>
      </c>
      <c r="AL1710">
        <v>0</v>
      </c>
      <c r="AM1710">
        <v>0</v>
      </c>
      <c r="AN1710">
        <v>0</v>
      </c>
      <c r="AO1710">
        <v>0</v>
      </c>
      <c r="AP1710">
        <v>280</v>
      </c>
      <c r="AT1710" t="str">
        <f t="shared" si="296"/>
        <v>9791137602113</v>
      </c>
      <c r="AV1710" t="str">
        <f t="shared" si="294"/>
        <v>판타지 웹소설 &gt; 현대 판타지</v>
      </c>
    </row>
    <row r="1711" spans="1:48" x14ac:dyDescent="0.4">
      <c r="A1711">
        <v>2313011955</v>
      </c>
      <c r="B1711">
        <v>2313012778</v>
      </c>
      <c r="C1711" t="str">
        <f>T("갓 오브 블랙필드 2부 81화")</f>
        <v>갓 오브 블랙필드 2부 81화</v>
      </c>
      <c r="D1711" t="str">
        <f>T("562")</f>
        <v>562</v>
      </c>
      <c r="E1711" t="str">
        <f t="shared" si="293"/>
        <v>무장</v>
      </c>
      <c r="H1711" t="str">
        <f t="shared" si="292"/>
        <v>스토리위즈</v>
      </c>
      <c r="I1711" t="str">
        <f t="shared" si="295"/>
        <v>갓 오브 블랙필드</v>
      </c>
      <c r="J1711">
        <v>100</v>
      </c>
      <c r="K1711">
        <v>400</v>
      </c>
      <c r="L1711">
        <v>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400</v>
      </c>
      <c r="AH1711">
        <v>4</v>
      </c>
      <c r="AI1711">
        <v>0</v>
      </c>
      <c r="AJ1711">
        <v>0</v>
      </c>
      <c r="AK1711">
        <v>400</v>
      </c>
      <c r="AL1711">
        <v>0</v>
      </c>
      <c r="AM1711">
        <v>0</v>
      </c>
      <c r="AN1711">
        <v>0</v>
      </c>
      <c r="AO1711">
        <v>0</v>
      </c>
      <c r="AP1711">
        <v>280</v>
      </c>
      <c r="AT1711" t="str">
        <f t="shared" si="296"/>
        <v>9791137602113</v>
      </c>
      <c r="AV1711" t="str">
        <f t="shared" si="294"/>
        <v>판타지 웹소설 &gt; 현대 판타지</v>
      </c>
    </row>
    <row r="1712" spans="1:48" x14ac:dyDescent="0.4">
      <c r="A1712">
        <v>2313011955</v>
      </c>
      <c r="B1712">
        <v>2313012779</v>
      </c>
      <c r="C1712" t="str">
        <f>T("갓 오브 블랙필드 2부 82화")</f>
        <v>갓 오브 블랙필드 2부 82화</v>
      </c>
      <c r="D1712" t="str">
        <f>T("563")</f>
        <v>563</v>
      </c>
      <c r="E1712" t="str">
        <f t="shared" si="293"/>
        <v>무장</v>
      </c>
      <c r="H1712" t="str">
        <f t="shared" si="292"/>
        <v>스토리위즈</v>
      </c>
      <c r="I1712" t="str">
        <f t="shared" si="295"/>
        <v>갓 오브 블랙필드</v>
      </c>
      <c r="J1712">
        <v>100</v>
      </c>
      <c r="K1712">
        <v>400</v>
      </c>
      <c r="L1712">
        <v>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400</v>
      </c>
      <c r="AH1712">
        <v>4</v>
      </c>
      <c r="AI1712">
        <v>0</v>
      </c>
      <c r="AJ1712">
        <v>0</v>
      </c>
      <c r="AK1712">
        <v>400</v>
      </c>
      <c r="AL1712">
        <v>0</v>
      </c>
      <c r="AM1712">
        <v>0</v>
      </c>
      <c r="AN1712">
        <v>0</v>
      </c>
      <c r="AO1712">
        <v>0</v>
      </c>
      <c r="AP1712">
        <v>280</v>
      </c>
      <c r="AT1712" t="str">
        <f t="shared" si="296"/>
        <v>9791137602113</v>
      </c>
      <c r="AV1712" t="str">
        <f t="shared" si="294"/>
        <v>판타지 웹소설 &gt; 현대 판타지</v>
      </c>
    </row>
    <row r="1713" spans="1:48" x14ac:dyDescent="0.4">
      <c r="A1713">
        <v>2313011955</v>
      </c>
      <c r="B1713">
        <v>2313012780</v>
      </c>
      <c r="C1713" t="str">
        <f>T("갓 오브 블랙필드 2부 83화")</f>
        <v>갓 오브 블랙필드 2부 83화</v>
      </c>
      <c r="D1713" t="str">
        <f>T("564")</f>
        <v>564</v>
      </c>
      <c r="E1713" t="str">
        <f t="shared" si="293"/>
        <v>무장</v>
      </c>
      <c r="H1713" t="str">
        <f t="shared" si="292"/>
        <v>스토리위즈</v>
      </c>
      <c r="I1713" t="str">
        <f t="shared" si="295"/>
        <v>갓 오브 블랙필드</v>
      </c>
      <c r="J1713">
        <v>100</v>
      </c>
      <c r="K1713">
        <v>400</v>
      </c>
      <c r="L1713">
        <v>4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400</v>
      </c>
      <c r="AH1713">
        <v>4</v>
      </c>
      <c r="AI1713">
        <v>0</v>
      </c>
      <c r="AJ1713">
        <v>0</v>
      </c>
      <c r="AK1713">
        <v>400</v>
      </c>
      <c r="AL1713">
        <v>0</v>
      </c>
      <c r="AM1713">
        <v>0</v>
      </c>
      <c r="AN1713">
        <v>0</v>
      </c>
      <c r="AO1713">
        <v>0</v>
      </c>
      <c r="AP1713">
        <v>280</v>
      </c>
      <c r="AT1713" t="str">
        <f t="shared" si="296"/>
        <v>9791137602113</v>
      </c>
      <c r="AV1713" t="str">
        <f t="shared" si="294"/>
        <v>판타지 웹소설 &gt; 현대 판타지</v>
      </c>
    </row>
    <row r="1714" spans="1:48" x14ac:dyDescent="0.4">
      <c r="A1714">
        <v>2313011955</v>
      </c>
      <c r="B1714">
        <v>2313012781</v>
      </c>
      <c r="C1714" t="str">
        <f>T("갓 오브 블랙필드 2부 84화")</f>
        <v>갓 오브 블랙필드 2부 84화</v>
      </c>
      <c r="D1714" t="str">
        <f>T("565")</f>
        <v>565</v>
      </c>
      <c r="E1714" t="str">
        <f t="shared" si="293"/>
        <v>무장</v>
      </c>
      <c r="H1714" t="str">
        <f t="shared" si="292"/>
        <v>스토리위즈</v>
      </c>
      <c r="I1714" t="str">
        <f t="shared" si="295"/>
        <v>갓 오브 블랙필드</v>
      </c>
      <c r="J1714">
        <v>100</v>
      </c>
      <c r="K1714">
        <v>400</v>
      </c>
      <c r="L1714">
        <v>4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400</v>
      </c>
      <c r="AH1714">
        <v>4</v>
      </c>
      <c r="AI1714">
        <v>0</v>
      </c>
      <c r="AJ1714">
        <v>0</v>
      </c>
      <c r="AK1714">
        <v>400</v>
      </c>
      <c r="AL1714">
        <v>0</v>
      </c>
      <c r="AM1714">
        <v>0</v>
      </c>
      <c r="AN1714">
        <v>0</v>
      </c>
      <c r="AO1714">
        <v>0</v>
      </c>
      <c r="AP1714">
        <v>280</v>
      </c>
      <c r="AT1714" t="str">
        <f t="shared" si="296"/>
        <v>9791137602113</v>
      </c>
      <c r="AV1714" t="str">
        <f t="shared" si="294"/>
        <v>판타지 웹소설 &gt; 현대 판타지</v>
      </c>
    </row>
    <row r="1715" spans="1:48" x14ac:dyDescent="0.4">
      <c r="A1715">
        <v>2313011955</v>
      </c>
      <c r="B1715">
        <v>2313012782</v>
      </c>
      <c r="C1715" t="str">
        <f>T("갓 오브 블랙필드 2부 85화")</f>
        <v>갓 오브 블랙필드 2부 85화</v>
      </c>
      <c r="D1715" t="str">
        <f>T("566")</f>
        <v>566</v>
      </c>
      <c r="E1715" t="str">
        <f t="shared" si="293"/>
        <v>무장</v>
      </c>
      <c r="H1715" t="str">
        <f t="shared" si="292"/>
        <v>스토리위즈</v>
      </c>
      <c r="I1715" t="str">
        <f t="shared" si="295"/>
        <v>갓 오브 블랙필드</v>
      </c>
      <c r="J1715">
        <v>100</v>
      </c>
      <c r="K1715">
        <v>400</v>
      </c>
      <c r="L1715">
        <v>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400</v>
      </c>
      <c r="AH1715">
        <v>4</v>
      </c>
      <c r="AI1715">
        <v>0</v>
      </c>
      <c r="AJ1715">
        <v>0</v>
      </c>
      <c r="AK1715">
        <v>400</v>
      </c>
      <c r="AL1715">
        <v>0</v>
      </c>
      <c r="AM1715">
        <v>0</v>
      </c>
      <c r="AN1715">
        <v>0</v>
      </c>
      <c r="AO1715">
        <v>0</v>
      </c>
      <c r="AP1715">
        <v>280</v>
      </c>
      <c r="AT1715" t="str">
        <f t="shared" si="296"/>
        <v>9791137602113</v>
      </c>
      <c r="AV1715" t="str">
        <f t="shared" si="294"/>
        <v>판타지 웹소설 &gt; 현대 판타지</v>
      </c>
    </row>
    <row r="1716" spans="1:48" x14ac:dyDescent="0.4">
      <c r="A1716">
        <v>2313011955</v>
      </c>
      <c r="B1716">
        <v>2313012783</v>
      </c>
      <c r="C1716" t="str">
        <f>T("갓 오브 블랙필드 2부 86화")</f>
        <v>갓 오브 블랙필드 2부 86화</v>
      </c>
      <c r="D1716" t="str">
        <f>T("567")</f>
        <v>567</v>
      </c>
      <c r="E1716" t="str">
        <f t="shared" si="293"/>
        <v>무장</v>
      </c>
      <c r="H1716" t="str">
        <f t="shared" si="292"/>
        <v>스토리위즈</v>
      </c>
      <c r="I1716" t="str">
        <f t="shared" si="295"/>
        <v>갓 오브 블랙필드</v>
      </c>
      <c r="J1716">
        <v>100</v>
      </c>
      <c r="K1716">
        <v>400</v>
      </c>
      <c r="L1716">
        <v>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400</v>
      </c>
      <c r="AH1716">
        <v>4</v>
      </c>
      <c r="AI1716">
        <v>0</v>
      </c>
      <c r="AJ1716">
        <v>0</v>
      </c>
      <c r="AK1716">
        <v>400</v>
      </c>
      <c r="AL1716">
        <v>0</v>
      </c>
      <c r="AM1716">
        <v>0</v>
      </c>
      <c r="AN1716">
        <v>0</v>
      </c>
      <c r="AO1716">
        <v>0</v>
      </c>
      <c r="AP1716">
        <v>280</v>
      </c>
      <c r="AT1716" t="str">
        <f t="shared" si="296"/>
        <v>9791137602113</v>
      </c>
      <c r="AV1716" t="str">
        <f t="shared" si="294"/>
        <v>판타지 웹소설 &gt; 현대 판타지</v>
      </c>
    </row>
    <row r="1717" spans="1:48" x14ac:dyDescent="0.4">
      <c r="A1717">
        <v>2313011955</v>
      </c>
      <c r="B1717">
        <v>2313012784</v>
      </c>
      <c r="C1717" t="str">
        <f>T("갓 오브 블랙필드 2부 87화")</f>
        <v>갓 오브 블랙필드 2부 87화</v>
      </c>
      <c r="D1717" t="str">
        <f>T("568")</f>
        <v>568</v>
      </c>
      <c r="E1717" t="str">
        <f t="shared" si="293"/>
        <v>무장</v>
      </c>
      <c r="H1717" t="str">
        <f t="shared" ref="H1717:H1743" si="297">T("스토리위즈")</f>
        <v>스토리위즈</v>
      </c>
      <c r="I1717" t="str">
        <f t="shared" si="295"/>
        <v>갓 오브 블랙필드</v>
      </c>
      <c r="J1717">
        <v>100</v>
      </c>
      <c r="K1717">
        <v>400</v>
      </c>
      <c r="L1717">
        <v>4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400</v>
      </c>
      <c r="AH1717">
        <v>4</v>
      </c>
      <c r="AI1717">
        <v>0</v>
      </c>
      <c r="AJ1717">
        <v>0</v>
      </c>
      <c r="AK1717">
        <v>400</v>
      </c>
      <c r="AL1717">
        <v>0</v>
      </c>
      <c r="AM1717">
        <v>0</v>
      </c>
      <c r="AN1717">
        <v>0</v>
      </c>
      <c r="AO1717">
        <v>0</v>
      </c>
      <c r="AP1717">
        <v>280</v>
      </c>
      <c r="AT1717" t="str">
        <f t="shared" si="296"/>
        <v>9791137602113</v>
      </c>
      <c r="AV1717" t="str">
        <f t="shared" si="294"/>
        <v>판타지 웹소설 &gt; 현대 판타지</v>
      </c>
    </row>
    <row r="1718" spans="1:48" x14ac:dyDescent="0.4">
      <c r="A1718">
        <v>2313011955</v>
      </c>
      <c r="B1718">
        <v>2313012785</v>
      </c>
      <c r="C1718" t="str">
        <f>T("갓 오브 블랙필드 2부 88화")</f>
        <v>갓 오브 블랙필드 2부 88화</v>
      </c>
      <c r="D1718" t="str">
        <f>T("569")</f>
        <v>569</v>
      </c>
      <c r="E1718" t="str">
        <f t="shared" si="293"/>
        <v>무장</v>
      </c>
      <c r="H1718" t="str">
        <f t="shared" si="297"/>
        <v>스토리위즈</v>
      </c>
      <c r="I1718" t="str">
        <f t="shared" si="295"/>
        <v>갓 오브 블랙필드</v>
      </c>
      <c r="J1718">
        <v>100</v>
      </c>
      <c r="K1718">
        <v>400</v>
      </c>
      <c r="L1718">
        <v>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400</v>
      </c>
      <c r="AH1718">
        <v>4</v>
      </c>
      <c r="AI1718">
        <v>0</v>
      </c>
      <c r="AJ1718">
        <v>0</v>
      </c>
      <c r="AK1718">
        <v>400</v>
      </c>
      <c r="AL1718">
        <v>0</v>
      </c>
      <c r="AM1718">
        <v>0</v>
      </c>
      <c r="AN1718">
        <v>0</v>
      </c>
      <c r="AO1718">
        <v>0</v>
      </c>
      <c r="AP1718">
        <v>280</v>
      </c>
      <c r="AT1718" t="str">
        <f t="shared" si="296"/>
        <v>9791137602113</v>
      </c>
      <c r="AV1718" t="str">
        <f t="shared" si="294"/>
        <v>판타지 웹소설 &gt; 현대 판타지</v>
      </c>
    </row>
    <row r="1719" spans="1:48" x14ac:dyDescent="0.4">
      <c r="A1719">
        <v>2313011955</v>
      </c>
      <c r="B1719">
        <v>2313012786</v>
      </c>
      <c r="C1719" t="str">
        <f>T("갓 오브 블랙필드 2부 89화")</f>
        <v>갓 오브 블랙필드 2부 89화</v>
      </c>
      <c r="D1719" t="str">
        <f>T("570")</f>
        <v>570</v>
      </c>
      <c r="E1719" t="str">
        <f t="shared" si="293"/>
        <v>무장</v>
      </c>
      <c r="H1719" t="str">
        <f t="shared" si="297"/>
        <v>스토리위즈</v>
      </c>
      <c r="I1719" t="str">
        <f t="shared" si="295"/>
        <v>갓 오브 블랙필드</v>
      </c>
      <c r="J1719">
        <v>100</v>
      </c>
      <c r="K1719">
        <v>400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400</v>
      </c>
      <c r="AH1719">
        <v>4</v>
      </c>
      <c r="AI1719">
        <v>0</v>
      </c>
      <c r="AJ1719">
        <v>0</v>
      </c>
      <c r="AK1719">
        <v>400</v>
      </c>
      <c r="AL1719">
        <v>0</v>
      </c>
      <c r="AM1719">
        <v>0</v>
      </c>
      <c r="AN1719">
        <v>0</v>
      </c>
      <c r="AO1719">
        <v>0</v>
      </c>
      <c r="AP1719">
        <v>280</v>
      </c>
      <c r="AT1719" t="str">
        <f t="shared" si="296"/>
        <v>9791137602113</v>
      </c>
      <c r="AV1719" t="str">
        <f t="shared" si="294"/>
        <v>판타지 웹소설 &gt; 현대 판타지</v>
      </c>
    </row>
    <row r="1720" spans="1:48" x14ac:dyDescent="0.4">
      <c r="A1720">
        <v>2313011955</v>
      </c>
      <c r="B1720">
        <v>2313012787</v>
      </c>
      <c r="C1720" t="str">
        <f>T("갓 오브 블랙필드 2부 90화")</f>
        <v>갓 오브 블랙필드 2부 90화</v>
      </c>
      <c r="D1720" t="str">
        <f>T("571")</f>
        <v>571</v>
      </c>
      <c r="E1720" t="str">
        <f t="shared" si="293"/>
        <v>무장</v>
      </c>
      <c r="H1720" t="str">
        <f t="shared" si="297"/>
        <v>스토리위즈</v>
      </c>
      <c r="I1720" t="str">
        <f t="shared" si="295"/>
        <v>갓 오브 블랙필드</v>
      </c>
      <c r="J1720">
        <v>100</v>
      </c>
      <c r="K1720">
        <v>400</v>
      </c>
      <c r="L1720">
        <v>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400</v>
      </c>
      <c r="AH1720">
        <v>4</v>
      </c>
      <c r="AI1720">
        <v>0</v>
      </c>
      <c r="AJ1720">
        <v>0</v>
      </c>
      <c r="AK1720">
        <v>400</v>
      </c>
      <c r="AL1720">
        <v>0</v>
      </c>
      <c r="AM1720">
        <v>0</v>
      </c>
      <c r="AN1720">
        <v>0</v>
      </c>
      <c r="AO1720">
        <v>0</v>
      </c>
      <c r="AP1720">
        <v>280</v>
      </c>
      <c r="AT1720" t="str">
        <f t="shared" si="296"/>
        <v>9791137602113</v>
      </c>
      <c r="AV1720" t="str">
        <f t="shared" si="294"/>
        <v>판타지 웹소설 &gt; 현대 판타지</v>
      </c>
    </row>
    <row r="1721" spans="1:48" x14ac:dyDescent="0.4">
      <c r="A1721">
        <v>2313011955</v>
      </c>
      <c r="B1721">
        <v>2313012788</v>
      </c>
      <c r="C1721" t="str">
        <f>T("갓 오브 블랙필드 2부 91화")</f>
        <v>갓 오브 블랙필드 2부 91화</v>
      </c>
      <c r="D1721" t="str">
        <f>T("572")</f>
        <v>572</v>
      </c>
      <c r="E1721" t="str">
        <f t="shared" si="293"/>
        <v>무장</v>
      </c>
      <c r="H1721" t="str">
        <f t="shared" si="297"/>
        <v>스토리위즈</v>
      </c>
      <c r="I1721" t="str">
        <f t="shared" si="295"/>
        <v>갓 오브 블랙필드</v>
      </c>
      <c r="J1721">
        <v>100</v>
      </c>
      <c r="K1721">
        <v>400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400</v>
      </c>
      <c r="AH1721">
        <v>4</v>
      </c>
      <c r="AI1721">
        <v>0</v>
      </c>
      <c r="AJ1721">
        <v>0</v>
      </c>
      <c r="AK1721">
        <v>400</v>
      </c>
      <c r="AL1721">
        <v>0</v>
      </c>
      <c r="AM1721">
        <v>0</v>
      </c>
      <c r="AN1721">
        <v>0</v>
      </c>
      <c r="AO1721">
        <v>0</v>
      </c>
      <c r="AP1721">
        <v>280</v>
      </c>
      <c r="AT1721" t="str">
        <f t="shared" si="296"/>
        <v>9791137602113</v>
      </c>
      <c r="AV1721" t="str">
        <f t="shared" si="294"/>
        <v>판타지 웹소설 &gt; 현대 판타지</v>
      </c>
    </row>
    <row r="1722" spans="1:48" x14ac:dyDescent="0.4">
      <c r="A1722">
        <v>2313011955</v>
      </c>
      <c r="B1722">
        <v>2313012789</v>
      </c>
      <c r="C1722" t="str">
        <f>T("갓 오브 블랙필드 2부 92화")</f>
        <v>갓 오브 블랙필드 2부 92화</v>
      </c>
      <c r="D1722" t="str">
        <f>T("573")</f>
        <v>573</v>
      </c>
      <c r="E1722" t="str">
        <f t="shared" si="293"/>
        <v>무장</v>
      </c>
      <c r="H1722" t="str">
        <f t="shared" si="297"/>
        <v>스토리위즈</v>
      </c>
      <c r="I1722" t="str">
        <f t="shared" si="295"/>
        <v>갓 오브 블랙필드</v>
      </c>
      <c r="J1722">
        <v>100</v>
      </c>
      <c r="K1722">
        <v>400</v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400</v>
      </c>
      <c r="AH1722">
        <v>4</v>
      </c>
      <c r="AI1722">
        <v>0</v>
      </c>
      <c r="AJ1722">
        <v>0</v>
      </c>
      <c r="AK1722">
        <v>400</v>
      </c>
      <c r="AL1722">
        <v>0</v>
      </c>
      <c r="AM1722">
        <v>0</v>
      </c>
      <c r="AN1722">
        <v>0</v>
      </c>
      <c r="AO1722">
        <v>0</v>
      </c>
      <c r="AP1722">
        <v>280</v>
      </c>
      <c r="AT1722" t="str">
        <f t="shared" si="296"/>
        <v>9791137602113</v>
      </c>
      <c r="AV1722" t="str">
        <f t="shared" si="294"/>
        <v>판타지 웹소설 &gt; 현대 판타지</v>
      </c>
    </row>
    <row r="1723" spans="1:48" x14ac:dyDescent="0.4">
      <c r="A1723">
        <v>2313011955</v>
      </c>
      <c r="B1723">
        <v>2313012790</v>
      </c>
      <c r="C1723" t="str">
        <f>T("갓 오브 블랙필드 2부 93화")</f>
        <v>갓 오브 블랙필드 2부 93화</v>
      </c>
      <c r="D1723" t="str">
        <f>T("574")</f>
        <v>574</v>
      </c>
      <c r="E1723" t="str">
        <f t="shared" si="293"/>
        <v>무장</v>
      </c>
      <c r="H1723" t="str">
        <f t="shared" si="297"/>
        <v>스토리위즈</v>
      </c>
      <c r="I1723" t="str">
        <f t="shared" si="295"/>
        <v>갓 오브 블랙필드</v>
      </c>
      <c r="J1723">
        <v>100</v>
      </c>
      <c r="K1723">
        <v>400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400</v>
      </c>
      <c r="AH1723">
        <v>4</v>
      </c>
      <c r="AI1723">
        <v>0</v>
      </c>
      <c r="AJ1723">
        <v>0</v>
      </c>
      <c r="AK1723">
        <v>400</v>
      </c>
      <c r="AL1723">
        <v>0</v>
      </c>
      <c r="AM1723">
        <v>0</v>
      </c>
      <c r="AN1723">
        <v>0</v>
      </c>
      <c r="AO1723">
        <v>0</v>
      </c>
      <c r="AP1723">
        <v>280</v>
      </c>
      <c r="AT1723" t="str">
        <f t="shared" si="296"/>
        <v>9791137602113</v>
      </c>
      <c r="AV1723" t="str">
        <f t="shared" si="294"/>
        <v>판타지 웹소설 &gt; 현대 판타지</v>
      </c>
    </row>
    <row r="1724" spans="1:48" x14ac:dyDescent="0.4">
      <c r="A1724">
        <v>2313011955</v>
      </c>
      <c r="B1724">
        <v>2313012792</v>
      </c>
      <c r="C1724" t="str">
        <f>T("갓 오브 블랙필드 2부 95화")</f>
        <v>갓 오브 블랙필드 2부 95화</v>
      </c>
      <c r="D1724" t="str">
        <f>T("576")</f>
        <v>576</v>
      </c>
      <c r="E1724" t="str">
        <f t="shared" si="293"/>
        <v>무장</v>
      </c>
      <c r="H1724" t="str">
        <f t="shared" si="297"/>
        <v>스토리위즈</v>
      </c>
      <c r="I1724" t="str">
        <f t="shared" si="295"/>
        <v>갓 오브 블랙필드</v>
      </c>
      <c r="J1724">
        <v>100</v>
      </c>
      <c r="K1724">
        <v>400</v>
      </c>
      <c r="L1724">
        <v>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400</v>
      </c>
      <c r="AH1724">
        <v>4</v>
      </c>
      <c r="AI1724">
        <v>0</v>
      </c>
      <c r="AJ1724">
        <v>0</v>
      </c>
      <c r="AK1724">
        <v>400</v>
      </c>
      <c r="AL1724">
        <v>0</v>
      </c>
      <c r="AM1724">
        <v>0</v>
      </c>
      <c r="AN1724">
        <v>0</v>
      </c>
      <c r="AO1724">
        <v>0</v>
      </c>
      <c r="AP1724">
        <v>280</v>
      </c>
      <c r="AT1724" t="str">
        <f t="shared" si="296"/>
        <v>9791137602113</v>
      </c>
      <c r="AV1724" t="str">
        <f t="shared" si="294"/>
        <v>판타지 웹소설 &gt; 현대 판타지</v>
      </c>
    </row>
    <row r="1725" spans="1:48" x14ac:dyDescent="0.4">
      <c r="A1725">
        <v>2313011955</v>
      </c>
      <c r="B1725">
        <v>2313012793</v>
      </c>
      <c r="C1725" t="str">
        <f>T("갓 오브 블랙필드 2부 96화")</f>
        <v>갓 오브 블랙필드 2부 96화</v>
      </c>
      <c r="D1725" t="str">
        <f>T("577")</f>
        <v>577</v>
      </c>
      <c r="E1725" t="str">
        <f t="shared" si="293"/>
        <v>무장</v>
      </c>
      <c r="H1725" t="str">
        <f t="shared" si="297"/>
        <v>스토리위즈</v>
      </c>
      <c r="I1725" t="str">
        <f t="shared" si="295"/>
        <v>갓 오브 블랙필드</v>
      </c>
      <c r="J1725">
        <v>100</v>
      </c>
      <c r="K1725">
        <v>400</v>
      </c>
      <c r="L1725">
        <v>4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400</v>
      </c>
      <c r="AH1725">
        <v>4</v>
      </c>
      <c r="AI1725">
        <v>0</v>
      </c>
      <c r="AJ1725">
        <v>0</v>
      </c>
      <c r="AK1725">
        <v>400</v>
      </c>
      <c r="AL1725">
        <v>0</v>
      </c>
      <c r="AM1725">
        <v>0</v>
      </c>
      <c r="AN1725">
        <v>0</v>
      </c>
      <c r="AO1725">
        <v>0</v>
      </c>
      <c r="AP1725">
        <v>280</v>
      </c>
      <c r="AT1725" t="str">
        <f t="shared" si="296"/>
        <v>9791137602113</v>
      </c>
      <c r="AV1725" t="str">
        <f t="shared" si="294"/>
        <v>판타지 웹소설 &gt; 현대 판타지</v>
      </c>
    </row>
    <row r="1726" spans="1:48" x14ac:dyDescent="0.4">
      <c r="A1726">
        <v>2313011955</v>
      </c>
      <c r="B1726">
        <v>2313012794</v>
      </c>
      <c r="C1726" t="str">
        <f>T("갓 오브 블랙필드 2부 97화")</f>
        <v>갓 오브 블랙필드 2부 97화</v>
      </c>
      <c r="D1726" t="str">
        <f>T("578")</f>
        <v>578</v>
      </c>
      <c r="E1726" t="str">
        <f t="shared" si="293"/>
        <v>무장</v>
      </c>
      <c r="H1726" t="str">
        <f t="shared" si="297"/>
        <v>스토리위즈</v>
      </c>
      <c r="I1726" t="str">
        <f t="shared" si="295"/>
        <v>갓 오브 블랙필드</v>
      </c>
      <c r="J1726">
        <v>100</v>
      </c>
      <c r="K1726">
        <v>400</v>
      </c>
      <c r="L1726">
        <v>4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400</v>
      </c>
      <c r="AH1726">
        <v>4</v>
      </c>
      <c r="AI1726">
        <v>0</v>
      </c>
      <c r="AJ1726">
        <v>0</v>
      </c>
      <c r="AK1726">
        <v>400</v>
      </c>
      <c r="AL1726">
        <v>0</v>
      </c>
      <c r="AM1726">
        <v>0</v>
      </c>
      <c r="AN1726">
        <v>0</v>
      </c>
      <c r="AO1726">
        <v>0</v>
      </c>
      <c r="AP1726">
        <v>280</v>
      </c>
      <c r="AT1726" t="str">
        <f t="shared" si="296"/>
        <v>9791137602113</v>
      </c>
      <c r="AV1726" t="str">
        <f t="shared" si="294"/>
        <v>판타지 웹소설 &gt; 현대 판타지</v>
      </c>
    </row>
    <row r="1727" spans="1:48" x14ac:dyDescent="0.4">
      <c r="A1727">
        <v>2313011955</v>
      </c>
      <c r="B1727">
        <v>2313012795</v>
      </c>
      <c r="C1727" t="str">
        <f>T("갓 오브 블랙필드 2부 98화")</f>
        <v>갓 오브 블랙필드 2부 98화</v>
      </c>
      <c r="D1727" t="str">
        <f>T("579")</f>
        <v>579</v>
      </c>
      <c r="E1727" t="str">
        <f t="shared" si="293"/>
        <v>무장</v>
      </c>
      <c r="H1727" t="str">
        <f t="shared" si="297"/>
        <v>스토리위즈</v>
      </c>
      <c r="I1727" t="str">
        <f t="shared" si="295"/>
        <v>갓 오브 블랙필드</v>
      </c>
      <c r="J1727">
        <v>100</v>
      </c>
      <c r="K1727">
        <v>400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400</v>
      </c>
      <c r="AH1727">
        <v>4</v>
      </c>
      <c r="AI1727">
        <v>0</v>
      </c>
      <c r="AJ1727">
        <v>0</v>
      </c>
      <c r="AK1727">
        <v>400</v>
      </c>
      <c r="AL1727">
        <v>0</v>
      </c>
      <c r="AM1727">
        <v>0</v>
      </c>
      <c r="AN1727">
        <v>0</v>
      </c>
      <c r="AO1727">
        <v>0</v>
      </c>
      <c r="AP1727">
        <v>280</v>
      </c>
      <c r="AT1727" t="str">
        <f t="shared" si="296"/>
        <v>9791137602113</v>
      </c>
      <c r="AV1727" t="str">
        <f t="shared" si="294"/>
        <v>판타지 웹소설 &gt; 현대 판타지</v>
      </c>
    </row>
    <row r="1728" spans="1:48" x14ac:dyDescent="0.4">
      <c r="A1728">
        <v>2313011955</v>
      </c>
      <c r="B1728">
        <v>2313012796</v>
      </c>
      <c r="C1728" t="str">
        <f>T("갓 오브 블랙필드 2부 99화")</f>
        <v>갓 오브 블랙필드 2부 99화</v>
      </c>
      <c r="D1728" t="str">
        <f>T("580")</f>
        <v>580</v>
      </c>
      <c r="E1728" t="str">
        <f t="shared" si="293"/>
        <v>무장</v>
      </c>
      <c r="H1728" t="str">
        <f t="shared" si="297"/>
        <v>스토리위즈</v>
      </c>
      <c r="I1728" t="str">
        <f t="shared" si="295"/>
        <v>갓 오브 블랙필드</v>
      </c>
      <c r="J1728">
        <v>100</v>
      </c>
      <c r="K1728">
        <v>400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400</v>
      </c>
      <c r="AH1728">
        <v>4</v>
      </c>
      <c r="AI1728">
        <v>0</v>
      </c>
      <c r="AJ1728">
        <v>0</v>
      </c>
      <c r="AK1728">
        <v>400</v>
      </c>
      <c r="AL1728">
        <v>0</v>
      </c>
      <c r="AM1728">
        <v>0</v>
      </c>
      <c r="AN1728">
        <v>0</v>
      </c>
      <c r="AO1728">
        <v>0</v>
      </c>
      <c r="AP1728">
        <v>280</v>
      </c>
      <c r="AT1728" t="str">
        <f t="shared" si="296"/>
        <v>9791137602113</v>
      </c>
      <c r="AV1728" t="str">
        <f t="shared" si="294"/>
        <v>판타지 웹소설 &gt; 현대 판타지</v>
      </c>
    </row>
    <row r="1729" spans="1:49" x14ac:dyDescent="0.4">
      <c r="A1729">
        <v>2313011955</v>
      </c>
      <c r="B1729">
        <v>2313012797</v>
      </c>
      <c r="C1729" t="str">
        <f>T("갓 오브 블랙필드 2부 100화 (완결)")</f>
        <v>갓 오브 블랙필드 2부 100화 (완결)</v>
      </c>
      <c r="D1729" t="str">
        <f>T("581")</f>
        <v>581</v>
      </c>
      <c r="E1729" t="str">
        <f t="shared" si="293"/>
        <v>무장</v>
      </c>
      <c r="H1729" t="str">
        <f t="shared" si="297"/>
        <v>스토리위즈</v>
      </c>
      <c r="I1729" t="str">
        <f t="shared" si="295"/>
        <v>갓 오브 블랙필드</v>
      </c>
      <c r="J1729">
        <v>100</v>
      </c>
      <c r="K1729">
        <v>400</v>
      </c>
      <c r="L1729">
        <v>4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400</v>
      </c>
      <c r="AH1729">
        <v>4</v>
      </c>
      <c r="AI1729">
        <v>0</v>
      </c>
      <c r="AJ1729">
        <v>0</v>
      </c>
      <c r="AK1729">
        <v>400</v>
      </c>
      <c r="AL1729">
        <v>0</v>
      </c>
      <c r="AM1729">
        <v>0</v>
      </c>
      <c r="AN1729">
        <v>0</v>
      </c>
      <c r="AO1729">
        <v>0</v>
      </c>
      <c r="AP1729">
        <v>280</v>
      </c>
      <c r="AT1729" t="str">
        <f t="shared" si="296"/>
        <v>9791137602113</v>
      </c>
      <c r="AV1729" t="str">
        <f t="shared" si="294"/>
        <v>판타지 웹소설 &gt; 현대 판타지</v>
      </c>
    </row>
    <row r="1730" spans="1:49" x14ac:dyDescent="0.4">
      <c r="A1730">
        <v>2313012849</v>
      </c>
      <c r="B1730">
        <v>2313012876</v>
      </c>
      <c r="C1730" t="str">
        <f>T("디버프 마스터 28화")</f>
        <v>디버프 마스터 28화</v>
      </c>
      <c r="D1730" t="str">
        <f>T("28")</f>
        <v>28</v>
      </c>
      <c r="E1730" t="str">
        <f t="shared" ref="E1730:E1743" si="298">T("담화공")</f>
        <v>담화공</v>
      </c>
      <c r="H1730" t="str">
        <f t="shared" si="297"/>
        <v>스토리위즈</v>
      </c>
      <c r="I1730" t="str">
        <f t="shared" ref="I1730:I1743" si="299">T("디버프 마스터")</f>
        <v>디버프 마스터</v>
      </c>
      <c r="J1730">
        <v>100</v>
      </c>
      <c r="K1730">
        <v>400</v>
      </c>
      <c r="L1730">
        <v>4</v>
      </c>
      <c r="M1730">
        <v>0</v>
      </c>
      <c r="N1730">
        <v>0</v>
      </c>
      <c r="O1730">
        <v>0</v>
      </c>
      <c r="P1730">
        <v>231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400</v>
      </c>
      <c r="AH1730">
        <v>235</v>
      </c>
      <c r="AI1730">
        <v>0</v>
      </c>
      <c r="AJ1730">
        <v>0</v>
      </c>
      <c r="AK1730">
        <v>400</v>
      </c>
      <c r="AL1730">
        <v>0</v>
      </c>
      <c r="AM1730">
        <v>0</v>
      </c>
      <c r="AN1730">
        <v>0</v>
      </c>
      <c r="AO1730">
        <v>0</v>
      </c>
      <c r="AP1730">
        <v>280</v>
      </c>
      <c r="AT1730" t="str">
        <f t="shared" ref="AT1730:AT1743" si="300">T("9791137602663")</f>
        <v>9791137602663</v>
      </c>
      <c r="AV1730" t="str">
        <f t="shared" ref="AV1730:AV1743" si="301">T("판타지 웹소설 &gt; 퓨전 판타지")</f>
        <v>판타지 웹소설 &gt; 퓨전 판타지</v>
      </c>
    </row>
    <row r="1731" spans="1:49" x14ac:dyDescent="0.4">
      <c r="A1731">
        <v>2313012849</v>
      </c>
      <c r="B1731">
        <v>2313012877</v>
      </c>
      <c r="C1731" t="str">
        <f>T("디버프 마스터 29화")</f>
        <v>디버프 마스터 29화</v>
      </c>
      <c r="D1731" t="str">
        <f>T("29")</f>
        <v>29</v>
      </c>
      <c r="E1731" t="str">
        <f t="shared" si="298"/>
        <v>담화공</v>
      </c>
      <c r="H1731" t="str">
        <f t="shared" si="297"/>
        <v>스토리위즈</v>
      </c>
      <c r="I1731" t="str">
        <f t="shared" si="299"/>
        <v>디버프 마스터</v>
      </c>
      <c r="J1731">
        <v>100</v>
      </c>
      <c r="K1731">
        <v>400</v>
      </c>
      <c r="L1731">
        <v>4</v>
      </c>
      <c r="M1731">
        <v>0</v>
      </c>
      <c r="N1731">
        <v>0</v>
      </c>
      <c r="O1731">
        <v>0</v>
      </c>
      <c r="P1731">
        <v>227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400</v>
      </c>
      <c r="AH1731">
        <v>231</v>
      </c>
      <c r="AI1731">
        <v>0</v>
      </c>
      <c r="AJ1731">
        <v>0</v>
      </c>
      <c r="AK1731">
        <v>400</v>
      </c>
      <c r="AL1731">
        <v>0</v>
      </c>
      <c r="AM1731">
        <v>0</v>
      </c>
      <c r="AN1731">
        <v>0</v>
      </c>
      <c r="AO1731">
        <v>0</v>
      </c>
      <c r="AP1731">
        <v>280</v>
      </c>
      <c r="AT1731" t="str">
        <f t="shared" si="300"/>
        <v>9791137602663</v>
      </c>
      <c r="AV1731" t="str">
        <f t="shared" si="301"/>
        <v>판타지 웹소설 &gt; 퓨전 판타지</v>
      </c>
    </row>
    <row r="1732" spans="1:49" x14ac:dyDescent="0.4">
      <c r="A1732">
        <v>2313012849</v>
      </c>
      <c r="B1732">
        <v>2313012878</v>
      </c>
      <c r="C1732" t="str">
        <f>T("디버프 마스터 30화")</f>
        <v>디버프 마스터 30화</v>
      </c>
      <c r="D1732" t="str">
        <f>T("30")</f>
        <v>30</v>
      </c>
      <c r="E1732" t="str">
        <f t="shared" si="298"/>
        <v>담화공</v>
      </c>
      <c r="H1732" t="str">
        <f t="shared" si="297"/>
        <v>스토리위즈</v>
      </c>
      <c r="I1732" t="str">
        <f t="shared" si="299"/>
        <v>디버프 마스터</v>
      </c>
      <c r="J1732">
        <v>100</v>
      </c>
      <c r="K1732">
        <v>400</v>
      </c>
      <c r="L1732">
        <v>4</v>
      </c>
      <c r="M1732">
        <v>0</v>
      </c>
      <c r="N1732">
        <v>0</v>
      </c>
      <c r="O1732">
        <v>0</v>
      </c>
      <c r="P1732">
        <v>232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400</v>
      </c>
      <c r="AH1732">
        <v>236</v>
      </c>
      <c r="AI1732">
        <v>0</v>
      </c>
      <c r="AJ1732">
        <v>0</v>
      </c>
      <c r="AK1732">
        <v>400</v>
      </c>
      <c r="AL1732">
        <v>0</v>
      </c>
      <c r="AM1732">
        <v>0</v>
      </c>
      <c r="AN1732">
        <v>0</v>
      </c>
      <c r="AO1732">
        <v>0</v>
      </c>
      <c r="AP1732">
        <v>280</v>
      </c>
      <c r="AT1732" t="str">
        <f t="shared" si="300"/>
        <v>9791137602663</v>
      </c>
      <c r="AV1732" t="str">
        <f t="shared" si="301"/>
        <v>판타지 웹소설 &gt; 퓨전 판타지</v>
      </c>
    </row>
    <row r="1733" spans="1:49" x14ac:dyDescent="0.4">
      <c r="A1733">
        <v>2313012849</v>
      </c>
      <c r="B1733">
        <v>2313012879</v>
      </c>
      <c r="C1733" t="str">
        <f>T("디버프 마스터 31화")</f>
        <v>디버프 마스터 31화</v>
      </c>
      <c r="D1733" t="str">
        <f>T("31")</f>
        <v>31</v>
      </c>
      <c r="E1733" t="str">
        <f t="shared" si="298"/>
        <v>담화공</v>
      </c>
      <c r="H1733" t="str">
        <f t="shared" si="297"/>
        <v>스토리위즈</v>
      </c>
      <c r="I1733" t="str">
        <f t="shared" si="299"/>
        <v>디버프 마스터</v>
      </c>
      <c r="J1733">
        <v>100</v>
      </c>
      <c r="K1733">
        <v>400</v>
      </c>
      <c r="L1733">
        <v>4</v>
      </c>
      <c r="M1733">
        <v>0</v>
      </c>
      <c r="N1733">
        <v>0</v>
      </c>
      <c r="O1733">
        <v>0</v>
      </c>
      <c r="P1733">
        <v>242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400</v>
      </c>
      <c r="AH1733">
        <v>246</v>
      </c>
      <c r="AI1733">
        <v>0</v>
      </c>
      <c r="AJ1733">
        <v>0</v>
      </c>
      <c r="AK1733">
        <v>400</v>
      </c>
      <c r="AL1733">
        <v>0</v>
      </c>
      <c r="AM1733">
        <v>0</v>
      </c>
      <c r="AN1733">
        <v>0</v>
      </c>
      <c r="AO1733">
        <v>0</v>
      </c>
      <c r="AP1733">
        <v>280</v>
      </c>
      <c r="AT1733" t="str">
        <f t="shared" si="300"/>
        <v>9791137602663</v>
      </c>
      <c r="AV1733" t="str">
        <f t="shared" si="301"/>
        <v>판타지 웹소설 &gt; 퓨전 판타지</v>
      </c>
    </row>
    <row r="1734" spans="1:49" x14ac:dyDescent="0.4">
      <c r="A1734">
        <v>2313012849</v>
      </c>
      <c r="B1734">
        <v>2313012880</v>
      </c>
      <c r="C1734" t="str">
        <f>T("디버프 마스터 32화")</f>
        <v>디버프 마스터 32화</v>
      </c>
      <c r="D1734" t="str">
        <f>T("32")</f>
        <v>32</v>
      </c>
      <c r="E1734" t="str">
        <f t="shared" si="298"/>
        <v>담화공</v>
      </c>
      <c r="H1734" t="str">
        <f t="shared" si="297"/>
        <v>스토리위즈</v>
      </c>
      <c r="I1734" t="str">
        <f t="shared" si="299"/>
        <v>디버프 마스터</v>
      </c>
      <c r="J1734">
        <v>100</v>
      </c>
      <c r="K1734">
        <v>400</v>
      </c>
      <c r="L1734">
        <v>4</v>
      </c>
      <c r="M1734">
        <v>0</v>
      </c>
      <c r="N1734">
        <v>0</v>
      </c>
      <c r="O1734">
        <v>0</v>
      </c>
      <c r="P1734">
        <v>240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400</v>
      </c>
      <c r="AH1734">
        <v>244</v>
      </c>
      <c r="AI1734">
        <v>0</v>
      </c>
      <c r="AJ1734">
        <v>0</v>
      </c>
      <c r="AK1734">
        <v>400</v>
      </c>
      <c r="AL1734">
        <v>0</v>
      </c>
      <c r="AM1734">
        <v>0</v>
      </c>
      <c r="AN1734">
        <v>0</v>
      </c>
      <c r="AO1734">
        <v>0</v>
      </c>
      <c r="AP1734">
        <v>280</v>
      </c>
      <c r="AT1734" t="str">
        <f t="shared" si="300"/>
        <v>9791137602663</v>
      </c>
      <c r="AV1734" t="str">
        <f t="shared" si="301"/>
        <v>판타지 웹소설 &gt; 퓨전 판타지</v>
      </c>
    </row>
    <row r="1735" spans="1:49" x14ac:dyDescent="0.4">
      <c r="A1735">
        <v>2313012849</v>
      </c>
      <c r="B1735">
        <v>2313012882</v>
      </c>
      <c r="C1735" t="str">
        <f>T("디버프 마스터 34화")</f>
        <v>디버프 마스터 34화</v>
      </c>
      <c r="D1735" t="str">
        <f>T("34")</f>
        <v>34</v>
      </c>
      <c r="E1735" t="str">
        <f t="shared" si="298"/>
        <v>담화공</v>
      </c>
      <c r="H1735" t="str">
        <f t="shared" si="297"/>
        <v>스토리위즈</v>
      </c>
      <c r="I1735" t="str">
        <f t="shared" si="299"/>
        <v>디버프 마스터</v>
      </c>
      <c r="J1735">
        <v>100</v>
      </c>
      <c r="K1735">
        <v>400</v>
      </c>
      <c r="L1735">
        <v>4</v>
      </c>
      <c r="M1735">
        <v>0</v>
      </c>
      <c r="N1735">
        <v>0</v>
      </c>
      <c r="O1735">
        <v>0</v>
      </c>
      <c r="P1735">
        <v>243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400</v>
      </c>
      <c r="AH1735">
        <v>247</v>
      </c>
      <c r="AI1735">
        <v>0</v>
      </c>
      <c r="AJ1735">
        <v>0</v>
      </c>
      <c r="AK1735">
        <v>400</v>
      </c>
      <c r="AL1735">
        <v>0</v>
      </c>
      <c r="AM1735">
        <v>0</v>
      </c>
      <c r="AN1735">
        <v>0</v>
      </c>
      <c r="AO1735">
        <v>0</v>
      </c>
      <c r="AP1735">
        <v>280</v>
      </c>
      <c r="AT1735" t="str">
        <f t="shared" si="300"/>
        <v>9791137602663</v>
      </c>
      <c r="AV1735" t="str">
        <f t="shared" si="301"/>
        <v>판타지 웹소설 &gt; 퓨전 판타지</v>
      </c>
    </row>
    <row r="1736" spans="1:49" x14ac:dyDescent="0.4">
      <c r="A1736">
        <v>2313012849</v>
      </c>
      <c r="B1736">
        <v>2313012883</v>
      </c>
      <c r="C1736" t="str">
        <f>T("디버프 마스터 35화")</f>
        <v>디버프 마스터 35화</v>
      </c>
      <c r="D1736" t="str">
        <f>T("35")</f>
        <v>35</v>
      </c>
      <c r="E1736" t="str">
        <f t="shared" si="298"/>
        <v>담화공</v>
      </c>
      <c r="H1736" t="str">
        <f t="shared" si="297"/>
        <v>스토리위즈</v>
      </c>
      <c r="I1736" t="str">
        <f t="shared" si="299"/>
        <v>디버프 마스터</v>
      </c>
      <c r="J1736">
        <v>100</v>
      </c>
      <c r="K1736">
        <v>400</v>
      </c>
      <c r="L1736">
        <v>4</v>
      </c>
      <c r="M1736">
        <v>0</v>
      </c>
      <c r="N1736">
        <v>0</v>
      </c>
      <c r="O1736">
        <v>0</v>
      </c>
      <c r="P1736">
        <v>241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400</v>
      </c>
      <c r="AH1736">
        <v>245</v>
      </c>
      <c r="AI1736">
        <v>0</v>
      </c>
      <c r="AJ1736">
        <v>0</v>
      </c>
      <c r="AK1736">
        <v>400</v>
      </c>
      <c r="AL1736">
        <v>0</v>
      </c>
      <c r="AM1736">
        <v>0</v>
      </c>
      <c r="AN1736">
        <v>0</v>
      </c>
      <c r="AO1736">
        <v>0</v>
      </c>
      <c r="AP1736">
        <v>280</v>
      </c>
      <c r="AT1736" t="str">
        <f t="shared" si="300"/>
        <v>9791137602663</v>
      </c>
      <c r="AV1736" t="str">
        <f t="shared" si="301"/>
        <v>판타지 웹소설 &gt; 퓨전 판타지</v>
      </c>
    </row>
    <row r="1737" spans="1:49" x14ac:dyDescent="0.4">
      <c r="A1737">
        <v>2313012849</v>
      </c>
      <c r="B1737">
        <v>2313012895</v>
      </c>
      <c r="C1737" t="str">
        <f>T("디버프 마스터 47화")</f>
        <v>디버프 마스터 47화</v>
      </c>
      <c r="D1737" t="str">
        <f>T("47")</f>
        <v>47</v>
      </c>
      <c r="E1737" t="str">
        <f t="shared" si="298"/>
        <v>담화공</v>
      </c>
      <c r="H1737" t="str">
        <f t="shared" si="297"/>
        <v>스토리위즈</v>
      </c>
      <c r="I1737" t="str">
        <f t="shared" si="299"/>
        <v>디버프 마스터</v>
      </c>
      <c r="J1737">
        <v>100</v>
      </c>
      <c r="K1737">
        <v>400</v>
      </c>
      <c r="L1737">
        <v>4</v>
      </c>
      <c r="M1737">
        <v>0</v>
      </c>
      <c r="N1737">
        <v>0</v>
      </c>
      <c r="O1737">
        <v>0</v>
      </c>
      <c r="P1737">
        <v>249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400</v>
      </c>
      <c r="AH1737">
        <v>253</v>
      </c>
      <c r="AI1737">
        <v>0</v>
      </c>
      <c r="AJ1737">
        <v>0</v>
      </c>
      <c r="AK1737">
        <v>400</v>
      </c>
      <c r="AL1737">
        <v>0</v>
      </c>
      <c r="AM1737">
        <v>0</v>
      </c>
      <c r="AN1737">
        <v>0</v>
      </c>
      <c r="AO1737">
        <v>0</v>
      </c>
      <c r="AP1737">
        <v>280</v>
      </c>
      <c r="AT1737" t="str">
        <f t="shared" si="300"/>
        <v>9791137602663</v>
      </c>
      <c r="AV1737" t="str">
        <f t="shared" si="301"/>
        <v>판타지 웹소설 &gt; 퓨전 판타지</v>
      </c>
    </row>
    <row r="1738" spans="1:49" x14ac:dyDescent="0.4">
      <c r="A1738">
        <v>2313012849</v>
      </c>
      <c r="B1738">
        <v>2313012896</v>
      </c>
      <c r="C1738" t="str">
        <f>T("디버프 마스터 48화")</f>
        <v>디버프 마스터 48화</v>
      </c>
      <c r="D1738" t="str">
        <f>T("48")</f>
        <v>48</v>
      </c>
      <c r="E1738" t="str">
        <f t="shared" si="298"/>
        <v>담화공</v>
      </c>
      <c r="H1738" t="str">
        <f t="shared" si="297"/>
        <v>스토리위즈</v>
      </c>
      <c r="I1738" t="str">
        <f t="shared" si="299"/>
        <v>디버프 마스터</v>
      </c>
      <c r="J1738">
        <v>100</v>
      </c>
      <c r="K1738">
        <v>400</v>
      </c>
      <c r="L1738">
        <v>4</v>
      </c>
      <c r="M1738">
        <v>0</v>
      </c>
      <c r="N1738">
        <v>0</v>
      </c>
      <c r="O1738">
        <v>0</v>
      </c>
      <c r="P1738">
        <v>247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400</v>
      </c>
      <c r="AH1738">
        <v>251</v>
      </c>
      <c r="AI1738">
        <v>0</v>
      </c>
      <c r="AJ1738">
        <v>0</v>
      </c>
      <c r="AK1738">
        <v>400</v>
      </c>
      <c r="AL1738">
        <v>0</v>
      </c>
      <c r="AM1738">
        <v>0</v>
      </c>
      <c r="AN1738">
        <v>0</v>
      </c>
      <c r="AO1738">
        <v>0</v>
      </c>
      <c r="AP1738">
        <v>280</v>
      </c>
      <c r="AT1738" t="str">
        <f t="shared" si="300"/>
        <v>9791137602663</v>
      </c>
      <c r="AV1738" t="str">
        <f t="shared" si="301"/>
        <v>판타지 웹소설 &gt; 퓨전 판타지</v>
      </c>
    </row>
    <row r="1739" spans="1:49" x14ac:dyDescent="0.4">
      <c r="A1739">
        <v>2313012849</v>
      </c>
      <c r="B1739">
        <v>2313012899</v>
      </c>
      <c r="C1739" t="str">
        <f>T("디버프 마스터 51화")</f>
        <v>디버프 마스터 51화</v>
      </c>
      <c r="D1739" t="str">
        <f>T("51")</f>
        <v>51</v>
      </c>
      <c r="E1739" t="str">
        <f t="shared" si="298"/>
        <v>담화공</v>
      </c>
      <c r="H1739" t="str">
        <f t="shared" si="297"/>
        <v>스토리위즈</v>
      </c>
      <c r="I1739" t="str">
        <f t="shared" si="299"/>
        <v>디버프 마스터</v>
      </c>
      <c r="J1739">
        <v>100</v>
      </c>
      <c r="K1739">
        <v>400</v>
      </c>
      <c r="L1739">
        <v>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400</v>
      </c>
      <c r="AH1739">
        <v>4</v>
      </c>
      <c r="AI1739">
        <v>0</v>
      </c>
      <c r="AJ1739">
        <v>0</v>
      </c>
      <c r="AK1739">
        <v>400</v>
      </c>
      <c r="AL1739">
        <v>0</v>
      </c>
      <c r="AM1739">
        <v>0</v>
      </c>
      <c r="AN1739">
        <v>0</v>
      </c>
      <c r="AO1739">
        <v>0</v>
      </c>
      <c r="AP1739">
        <v>280</v>
      </c>
      <c r="AT1739" t="str">
        <f t="shared" si="300"/>
        <v>9791137602663</v>
      </c>
      <c r="AV1739" t="str">
        <f t="shared" si="301"/>
        <v>판타지 웹소설 &gt; 퓨전 판타지</v>
      </c>
    </row>
    <row r="1740" spans="1:49" x14ac:dyDescent="0.4">
      <c r="A1740">
        <v>2313012849</v>
      </c>
      <c r="B1740">
        <v>2313013091</v>
      </c>
      <c r="C1740" t="str">
        <f>T("디버프 마스터 243화")</f>
        <v>디버프 마스터 243화</v>
      </c>
      <c r="D1740" t="str">
        <f>T("243")</f>
        <v>243</v>
      </c>
      <c r="E1740" t="str">
        <f t="shared" si="298"/>
        <v>담화공</v>
      </c>
      <c r="H1740" t="str">
        <f t="shared" si="297"/>
        <v>스토리위즈</v>
      </c>
      <c r="I1740" t="str">
        <f t="shared" si="299"/>
        <v>디버프 마스터</v>
      </c>
      <c r="J1740">
        <v>100</v>
      </c>
      <c r="K1740">
        <v>400</v>
      </c>
      <c r="L1740">
        <v>4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400</v>
      </c>
      <c r="AH1740">
        <v>4</v>
      </c>
      <c r="AI1740">
        <v>0</v>
      </c>
      <c r="AJ1740">
        <v>0</v>
      </c>
      <c r="AK1740">
        <v>400</v>
      </c>
      <c r="AL1740">
        <v>0</v>
      </c>
      <c r="AM1740">
        <v>0</v>
      </c>
      <c r="AN1740">
        <v>0</v>
      </c>
      <c r="AO1740">
        <v>0</v>
      </c>
      <c r="AP1740">
        <v>280</v>
      </c>
      <c r="AT1740" t="str">
        <f t="shared" si="300"/>
        <v>9791137602663</v>
      </c>
      <c r="AV1740" t="str">
        <f t="shared" si="301"/>
        <v>판타지 웹소설 &gt; 퓨전 판타지</v>
      </c>
    </row>
    <row r="1741" spans="1:49" x14ac:dyDescent="0.4">
      <c r="A1741">
        <v>2313012849</v>
      </c>
      <c r="B1741">
        <v>2313013099</v>
      </c>
      <c r="C1741" t="str">
        <f>T("디버프 마스터 251화")</f>
        <v>디버프 마스터 251화</v>
      </c>
      <c r="D1741" t="str">
        <f>T("251")</f>
        <v>251</v>
      </c>
      <c r="E1741" t="str">
        <f t="shared" si="298"/>
        <v>담화공</v>
      </c>
      <c r="H1741" t="str">
        <f t="shared" si="297"/>
        <v>스토리위즈</v>
      </c>
      <c r="I1741" t="str">
        <f t="shared" si="299"/>
        <v>디버프 마스터</v>
      </c>
      <c r="J1741">
        <v>100</v>
      </c>
      <c r="K1741">
        <v>400</v>
      </c>
      <c r="L1741">
        <v>4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400</v>
      </c>
      <c r="AH1741">
        <v>4</v>
      </c>
      <c r="AI1741">
        <v>0</v>
      </c>
      <c r="AJ1741">
        <v>0</v>
      </c>
      <c r="AK1741">
        <v>400</v>
      </c>
      <c r="AL1741">
        <v>0</v>
      </c>
      <c r="AM1741">
        <v>0</v>
      </c>
      <c r="AN1741">
        <v>0</v>
      </c>
      <c r="AO1741">
        <v>0</v>
      </c>
      <c r="AP1741">
        <v>280</v>
      </c>
      <c r="AT1741" t="str">
        <f t="shared" si="300"/>
        <v>9791137602663</v>
      </c>
      <c r="AV1741" t="str">
        <f t="shared" si="301"/>
        <v>판타지 웹소설 &gt; 퓨전 판타지</v>
      </c>
    </row>
    <row r="1742" spans="1:49" x14ac:dyDescent="0.4">
      <c r="A1742">
        <v>2313012849</v>
      </c>
      <c r="B1742">
        <v>2313013100</v>
      </c>
      <c r="C1742" t="str">
        <f>T("디버프 마스터 252화")</f>
        <v>디버프 마스터 252화</v>
      </c>
      <c r="D1742" t="str">
        <f>T("252")</f>
        <v>252</v>
      </c>
      <c r="E1742" t="str">
        <f t="shared" si="298"/>
        <v>담화공</v>
      </c>
      <c r="H1742" t="str">
        <f t="shared" si="297"/>
        <v>스토리위즈</v>
      </c>
      <c r="I1742" t="str">
        <f t="shared" si="299"/>
        <v>디버프 마스터</v>
      </c>
      <c r="J1742">
        <v>100</v>
      </c>
      <c r="K1742">
        <v>400</v>
      </c>
      <c r="L1742">
        <v>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400</v>
      </c>
      <c r="AH1742">
        <v>4</v>
      </c>
      <c r="AI1742">
        <v>0</v>
      </c>
      <c r="AJ1742">
        <v>0</v>
      </c>
      <c r="AK1742">
        <v>400</v>
      </c>
      <c r="AL1742">
        <v>0</v>
      </c>
      <c r="AM1742">
        <v>0</v>
      </c>
      <c r="AN1742">
        <v>0</v>
      </c>
      <c r="AO1742">
        <v>0</v>
      </c>
      <c r="AP1742">
        <v>280</v>
      </c>
      <c r="AT1742" t="str">
        <f t="shared" si="300"/>
        <v>9791137602663</v>
      </c>
      <c r="AV1742" t="str">
        <f t="shared" si="301"/>
        <v>판타지 웹소설 &gt; 퓨전 판타지</v>
      </c>
    </row>
    <row r="1743" spans="1:49" x14ac:dyDescent="0.4">
      <c r="A1743">
        <v>2313012849</v>
      </c>
      <c r="B1743">
        <v>2313013101</v>
      </c>
      <c r="C1743" t="str">
        <f>T("디버프 마스터 253화")</f>
        <v>디버프 마스터 253화</v>
      </c>
      <c r="D1743" t="str">
        <f>T("253")</f>
        <v>253</v>
      </c>
      <c r="E1743" t="str">
        <f t="shared" si="298"/>
        <v>담화공</v>
      </c>
      <c r="H1743" t="str">
        <f t="shared" si="297"/>
        <v>스토리위즈</v>
      </c>
      <c r="I1743" t="str">
        <f t="shared" si="299"/>
        <v>디버프 마스터</v>
      </c>
      <c r="J1743">
        <v>100</v>
      </c>
      <c r="K1743">
        <v>400</v>
      </c>
      <c r="L1743">
        <v>4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400</v>
      </c>
      <c r="AH1743">
        <v>4</v>
      </c>
      <c r="AI1743">
        <v>0</v>
      </c>
      <c r="AJ1743">
        <v>0</v>
      </c>
      <c r="AK1743">
        <v>400</v>
      </c>
      <c r="AL1743">
        <v>0</v>
      </c>
      <c r="AM1743">
        <v>0</v>
      </c>
      <c r="AN1743">
        <v>0</v>
      </c>
      <c r="AO1743">
        <v>0</v>
      </c>
      <c r="AP1743">
        <v>280</v>
      </c>
      <c r="AT1743" t="str">
        <f t="shared" si="300"/>
        <v>9791137602663</v>
      </c>
      <c r="AV1743" t="str">
        <f t="shared" si="301"/>
        <v>판타지 웹소설 &gt; 퓨전 판타지</v>
      </c>
    </row>
    <row r="1744" spans="1:49" x14ac:dyDescent="0.4">
      <c r="A1744">
        <v>2313017029</v>
      </c>
      <c r="B1744">
        <v>2313016980</v>
      </c>
      <c r="C1744" t="str">
        <f>T("[e북]너에게 닿는 순간 (외전)")</f>
        <v>[e북]너에게 닿는 순간 (외전)</v>
      </c>
      <c r="D1744" t="str">
        <f>T("2")</f>
        <v>2</v>
      </c>
      <c r="E1744" t="str">
        <f>T("에피")</f>
        <v>에피</v>
      </c>
      <c r="H1744" t="str">
        <f>T("도서출판 태랑")</f>
        <v>도서출판 태랑</v>
      </c>
      <c r="I1744" t="str">
        <f>T("[e북]너에게 닿는 순간")</f>
        <v>[e북]너에게 닿는 순간</v>
      </c>
      <c r="J1744">
        <v>400</v>
      </c>
      <c r="K1744">
        <v>400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400</v>
      </c>
      <c r="AH1744">
        <v>1</v>
      </c>
      <c r="AI1744">
        <v>0</v>
      </c>
      <c r="AJ1744">
        <v>0</v>
      </c>
      <c r="AK1744">
        <v>400</v>
      </c>
      <c r="AL1744">
        <v>0</v>
      </c>
      <c r="AM1744">
        <v>0</v>
      </c>
      <c r="AN1744">
        <v>0</v>
      </c>
      <c r="AO1744">
        <v>0</v>
      </c>
      <c r="AP1744">
        <v>280</v>
      </c>
      <c r="AT1744" t="str">
        <f>T("9791164372218")</f>
        <v>9791164372218</v>
      </c>
      <c r="AV1744" t="str">
        <f>T("로맨스 e북 &gt; 현대물")</f>
        <v>로맨스 e북 &gt; 현대물</v>
      </c>
      <c r="AW1744" t="str">
        <f>T("로맨스 e북 &gt; 19+")</f>
        <v>로맨스 e북 &gt; 19+</v>
      </c>
    </row>
    <row r="1745" spans="1:48" x14ac:dyDescent="0.4">
      <c r="A1745">
        <v>2313017252</v>
      </c>
      <c r="B1745">
        <v>2313017279</v>
      </c>
      <c r="C1745" t="str">
        <f>T("신들의 알바나라 28화")</f>
        <v>신들의 알바나라 28화</v>
      </c>
      <c r="D1745" t="str">
        <f>T("28")</f>
        <v>28</v>
      </c>
      <c r="E1745" t="str">
        <f t="shared" ref="E1745:E1751" si="302">T("갓띵작")</f>
        <v>갓띵작</v>
      </c>
      <c r="H1745" t="str">
        <f t="shared" ref="H1745:H1808" si="303">T("스토리위즈")</f>
        <v>스토리위즈</v>
      </c>
      <c r="I1745" t="str">
        <f t="shared" ref="I1745:I1751" si="304">T("신들의 알바나라")</f>
        <v>신들의 알바나라</v>
      </c>
      <c r="J1745">
        <v>100</v>
      </c>
      <c r="K1745">
        <v>400</v>
      </c>
      <c r="L1745">
        <v>4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400</v>
      </c>
      <c r="AH1745">
        <v>4</v>
      </c>
      <c r="AI1745">
        <v>0</v>
      </c>
      <c r="AJ1745">
        <v>0</v>
      </c>
      <c r="AK1745">
        <v>400</v>
      </c>
      <c r="AL1745">
        <v>0</v>
      </c>
      <c r="AM1745">
        <v>0</v>
      </c>
      <c r="AN1745">
        <v>0</v>
      </c>
      <c r="AO1745">
        <v>0</v>
      </c>
      <c r="AP1745">
        <v>280</v>
      </c>
      <c r="AT1745" t="str">
        <f t="shared" ref="AT1745:AT1751" si="305">T("9791137603950")</f>
        <v>9791137603950</v>
      </c>
      <c r="AV1745" t="str">
        <f t="shared" ref="AV1745:AV1751" si="306">T("판타지 웹소설 &gt; 퓨전 판타지")</f>
        <v>판타지 웹소설 &gt; 퓨전 판타지</v>
      </c>
    </row>
    <row r="1746" spans="1:48" x14ac:dyDescent="0.4">
      <c r="A1746">
        <v>2313017252</v>
      </c>
      <c r="B1746">
        <v>2313017280</v>
      </c>
      <c r="C1746" t="str">
        <f>T("신들의 알바나라 29화")</f>
        <v>신들의 알바나라 29화</v>
      </c>
      <c r="D1746" t="str">
        <f>T("29")</f>
        <v>29</v>
      </c>
      <c r="E1746" t="str">
        <f t="shared" si="302"/>
        <v>갓띵작</v>
      </c>
      <c r="H1746" t="str">
        <f t="shared" si="303"/>
        <v>스토리위즈</v>
      </c>
      <c r="I1746" t="str">
        <f t="shared" si="304"/>
        <v>신들의 알바나라</v>
      </c>
      <c r="J1746">
        <v>100</v>
      </c>
      <c r="K1746">
        <v>400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400</v>
      </c>
      <c r="AH1746">
        <v>4</v>
      </c>
      <c r="AI1746">
        <v>0</v>
      </c>
      <c r="AJ1746">
        <v>0</v>
      </c>
      <c r="AK1746">
        <v>400</v>
      </c>
      <c r="AL1746">
        <v>0</v>
      </c>
      <c r="AM1746">
        <v>0</v>
      </c>
      <c r="AN1746">
        <v>0</v>
      </c>
      <c r="AO1746">
        <v>0</v>
      </c>
      <c r="AP1746">
        <v>280</v>
      </c>
      <c r="AT1746" t="str">
        <f t="shared" si="305"/>
        <v>9791137603950</v>
      </c>
      <c r="AV1746" t="str">
        <f t="shared" si="306"/>
        <v>판타지 웹소설 &gt; 퓨전 판타지</v>
      </c>
    </row>
    <row r="1747" spans="1:48" x14ac:dyDescent="0.4">
      <c r="A1747">
        <v>2313017252</v>
      </c>
      <c r="B1747">
        <v>2313017281</v>
      </c>
      <c r="C1747" t="str">
        <f>T("신들의 알바나라 30화")</f>
        <v>신들의 알바나라 30화</v>
      </c>
      <c r="D1747" t="str">
        <f>T("30")</f>
        <v>30</v>
      </c>
      <c r="E1747" t="str">
        <f t="shared" si="302"/>
        <v>갓띵작</v>
      </c>
      <c r="H1747" t="str">
        <f t="shared" si="303"/>
        <v>스토리위즈</v>
      </c>
      <c r="I1747" t="str">
        <f t="shared" si="304"/>
        <v>신들의 알바나라</v>
      </c>
      <c r="J1747">
        <v>100</v>
      </c>
      <c r="K1747">
        <v>400</v>
      </c>
      <c r="L1747">
        <v>4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400</v>
      </c>
      <c r="AH1747">
        <v>4</v>
      </c>
      <c r="AI1747">
        <v>0</v>
      </c>
      <c r="AJ1747">
        <v>0</v>
      </c>
      <c r="AK1747">
        <v>400</v>
      </c>
      <c r="AL1747">
        <v>0</v>
      </c>
      <c r="AM1747">
        <v>0</v>
      </c>
      <c r="AN1747">
        <v>0</v>
      </c>
      <c r="AO1747">
        <v>0</v>
      </c>
      <c r="AP1747">
        <v>280</v>
      </c>
      <c r="AT1747" t="str">
        <f t="shared" si="305"/>
        <v>9791137603950</v>
      </c>
      <c r="AV1747" t="str">
        <f t="shared" si="306"/>
        <v>판타지 웹소설 &gt; 퓨전 판타지</v>
      </c>
    </row>
    <row r="1748" spans="1:48" x14ac:dyDescent="0.4">
      <c r="A1748">
        <v>2313017252</v>
      </c>
      <c r="B1748">
        <v>2313017283</v>
      </c>
      <c r="C1748" t="str">
        <f>T("신들의 알바나라 32화")</f>
        <v>신들의 알바나라 32화</v>
      </c>
      <c r="D1748" t="str">
        <f>T("32")</f>
        <v>32</v>
      </c>
      <c r="E1748" t="str">
        <f t="shared" si="302"/>
        <v>갓띵작</v>
      </c>
      <c r="H1748" t="str">
        <f t="shared" si="303"/>
        <v>스토리위즈</v>
      </c>
      <c r="I1748" t="str">
        <f t="shared" si="304"/>
        <v>신들의 알바나라</v>
      </c>
      <c r="J1748">
        <v>100</v>
      </c>
      <c r="K1748">
        <v>400</v>
      </c>
      <c r="L1748">
        <v>4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400</v>
      </c>
      <c r="AH1748">
        <v>4</v>
      </c>
      <c r="AI1748">
        <v>0</v>
      </c>
      <c r="AJ1748">
        <v>0</v>
      </c>
      <c r="AK1748">
        <v>400</v>
      </c>
      <c r="AL1748">
        <v>0</v>
      </c>
      <c r="AM1748">
        <v>0</v>
      </c>
      <c r="AN1748">
        <v>0</v>
      </c>
      <c r="AO1748">
        <v>0</v>
      </c>
      <c r="AP1748">
        <v>280</v>
      </c>
      <c r="AT1748" t="str">
        <f t="shared" si="305"/>
        <v>9791137603950</v>
      </c>
      <c r="AV1748" t="str">
        <f t="shared" si="306"/>
        <v>판타지 웹소설 &gt; 퓨전 판타지</v>
      </c>
    </row>
    <row r="1749" spans="1:48" x14ac:dyDescent="0.4">
      <c r="A1749">
        <v>2313017252</v>
      </c>
      <c r="B1749">
        <v>2313017284</v>
      </c>
      <c r="C1749" t="str">
        <f>T("신들의 알바나라 33화")</f>
        <v>신들의 알바나라 33화</v>
      </c>
      <c r="D1749" t="str">
        <f>T("33")</f>
        <v>33</v>
      </c>
      <c r="E1749" t="str">
        <f t="shared" si="302"/>
        <v>갓띵작</v>
      </c>
      <c r="H1749" t="str">
        <f t="shared" si="303"/>
        <v>스토리위즈</v>
      </c>
      <c r="I1749" t="str">
        <f t="shared" si="304"/>
        <v>신들의 알바나라</v>
      </c>
      <c r="J1749">
        <v>100</v>
      </c>
      <c r="K1749">
        <v>400</v>
      </c>
      <c r="L1749">
        <v>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400</v>
      </c>
      <c r="AH1749">
        <v>4</v>
      </c>
      <c r="AI1749">
        <v>0</v>
      </c>
      <c r="AJ1749">
        <v>0</v>
      </c>
      <c r="AK1749">
        <v>400</v>
      </c>
      <c r="AL1749">
        <v>0</v>
      </c>
      <c r="AM1749">
        <v>0</v>
      </c>
      <c r="AN1749">
        <v>0</v>
      </c>
      <c r="AO1749">
        <v>0</v>
      </c>
      <c r="AP1749">
        <v>280</v>
      </c>
      <c r="AT1749" t="str">
        <f t="shared" si="305"/>
        <v>9791137603950</v>
      </c>
      <c r="AV1749" t="str">
        <f t="shared" si="306"/>
        <v>판타지 웹소설 &gt; 퓨전 판타지</v>
      </c>
    </row>
    <row r="1750" spans="1:48" x14ac:dyDescent="0.4">
      <c r="A1750">
        <v>2313017252</v>
      </c>
      <c r="B1750">
        <v>2313017289</v>
      </c>
      <c r="C1750" t="str">
        <f>T("신들의 알바나라 38화")</f>
        <v>신들의 알바나라 38화</v>
      </c>
      <c r="D1750" t="str">
        <f>T("38")</f>
        <v>38</v>
      </c>
      <c r="E1750" t="str">
        <f t="shared" si="302"/>
        <v>갓띵작</v>
      </c>
      <c r="H1750" t="str">
        <f t="shared" si="303"/>
        <v>스토리위즈</v>
      </c>
      <c r="I1750" t="str">
        <f t="shared" si="304"/>
        <v>신들의 알바나라</v>
      </c>
      <c r="J1750">
        <v>100</v>
      </c>
      <c r="K1750">
        <v>400</v>
      </c>
      <c r="L1750">
        <v>4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400</v>
      </c>
      <c r="AH1750">
        <v>4</v>
      </c>
      <c r="AI1750">
        <v>0</v>
      </c>
      <c r="AJ1750">
        <v>0</v>
      </c>
      <c r="AK1750">
        <v>400</v>
      </c>
      <c r="AL1750">
        <v>0</v>
      </c>
      <c r="AM1750">
        <v>0</v>
      </c>
      <c r="AN1750">
        <v>0</v>
      </c>
      <c r="AO1750">
        <v>0</v>
      </c>
      <c r="AP1750">
        <v>280</v>
      </c>
      <c r="AT1750" t="str">
        <f t="shared" si="305"/>
        <v>9791137603950</v>
      </c>
      <c r="AV1750" t="str">
        <f t="shared" si="306"/>
        <v>판타지 웹소설 &gt; 퓨전 판타지</v>
      </c>
    </row>
    <row r="1751" spans="1:48" x14ac:dyDescent="0.4">
      <c r="A1751">
        <v>2313017252</v>
      </c>
      <c r="B1751">
        <v>2313017291</v>
      </c>
      <c r="C1751" t="str">
        <f>T("신들의 알바나라 40화")</f>
        <v>신들의 알바나라 40화</v>
      </c>
      <c r="D1751" t="str">
        <f>T("40")</f>
        <v>40</v>
      </c>
      <c r="E1751" t="str">
        <f t="shared" si="302"/>
        <v>갓띵작</v>
      </c>
      <c r="H1751" t="str">
        <f t="shared" si="303"/>
        <v>스토리위즈</v>
      </c>
      <c r="I1751" t="str">
        <f t="shared" si="304"/>
        <v>신들의 알바나라</v>
      </c>
      <c r="J1751">
        <v>100</v>
      </c>
      <c r="K1751">
        <v>400</v>
      </c>
      <c r="L1751">
        <v>4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400</v>
      </c>
      <c r="AH1751">
        <v>4</v>
      </c>
      <c r="AI1751">
        <v>0</v>
      </c>
      <c r="AJ1751">
        <v>0</v>
      </c>
      <c r="AK1751">
        <v>400</v>
      </c>
      <c r="AL1751">
        <v>0</v>
      </c>
      <c r="AM1751">
        <v>0</v>
      </c>
      <c r="AN1751">
        <v>0</v>
      </c>
      <c r="AO1751">
        <v>0</v>
      </c>
      <c r="AP1751">
        <v>280</v>
      </c>
      <c r="AT1751" t="str">
        <f t="shared" si="305"/>
        <v>9791137603950</v>
      </c>
      <c r="AV1751" t="str">
        <f t="shared" si="306"/>
        <v>판타지 웹소설 &gt; 퓨전 판타지</v>
      </c>
    </row>
    <row r="1752" spans="1:48" x14ac:dyDescent="0.4">
      <c r="A1752">
        <v>2313003101</v>
      </c>
      <c r="B1752">
        <v>2313003374</v>
      </c>
      <c r="C1752" t="str">
        <f>T("로드 오브 머니 274화")</f>
        <v>로드 오브 머니 274화</v>
      </c>
      <c r="D1752" t="str">
        <f>T("274")</f>
        <v>274</v>
      </c>
      <c r="E1752" t="str">
        <f t="shared" ref="E1752:E1762" si="307">T("무장")</f>
        <v>무장</v>
      </c>
      <c r="H1752" t="str">
        <f t="shared" si="303"/>
        <v>스토리위즈</v>
      </c>
      <c r="I1752" t="str">
        <f t="shared" ref="I1752:I1762" si="308">T("로드 오브 머니")</f>
        <v>로드 오브 머니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3</v>
      </c>
      <c r="AI1752">
        <v>0</v>
      </c>
      <c r="AJ1752">
        <v>0</v>
      </c>
      <c r="AK1752">
        <v>300</v>
      </c>
      <c r="AL1752">
        <v>0</v>
      </c>
      <c r="AM1752">
        <v>0</v>
      </c>
      <c r="AN1752">
        <v>0</v>
      </c>
      <c r="AO1752">
        <v>0</v>
      </c>
      <c r="AP1752">
        <v>210</v>
      </c>
      <c r="AT1752" t="str">
        <f t="shared" ref="AT1752:AT1762" si="309">T("9791188630066")</f>
        <v>9791188630066</v>
      </c>
      <c r="AV1752" t="str">
        <f t="shared" ref="AV1752:AV1762" si="310">T("판타지 웹소설 &gt; 현대 판타지")</f>
        <v>판타지 웹소설 &gt; 현대 판타지</v>
      </c>
    </row>
    <row r="1753" spans="1:48" x14ac:dyDescent="0.4">
      <c r="A1753">
        <v>2313003101</v>
      </c>
      <c r="B1753">
        <v>2313003375</v>
      </c>
      <c r="C1753" t="str">
        <f>T("로드 오브 머니 275화")</f>
        <v>로드 오브 머니 275화</v>
      </c>
      <c r="D1753" t="str">
        <f>T("275")</f>
        <v>275</v>
      </c>
      <c r="E1753" t="str">
        <f t="shared" si="307"/>
        <v>무장</v>
      </c>
      <c r="H1753" t="str">
        <f t="shared" si="303"/>
        <v>스토리위즈</v>
      </c>
      <c r="I1753" t="str">
        <f t="shared" si="308"/>
        <v>로드 오브 머니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3</v>
      </c>
      <c r="AI1753">
        <v>0</v>
      </c>
      <c r="AJ1753">
        <v>0</v>
      </c>
      <c r="AK1753">
        <v>300</v>
      </c>
      <c r="AL1753">
        <v>0</v>
      </c>
      <c r="AM1753">
        <v>0</v>
      </c>
      <c r="AN1753">
        <v>0</v>
      </c>
      <c r="AO1753">
        <v>0</v>
      </c>
      <c r="AP1753">
        <v>210</v>
      </c>
      <c r="AT1753" t="str">
        <f t="shared" si="309"/>
        <v>9791188630066</v>
      </c>
      <c r="AV1753" t="str">
        <f t="shared" si="310"/>
        <v>판타지 웹소설 &gt; 현대 판타지</v>
      </c>
    </row>
    <row r="1754" spans="1:48" x14ac:dyDescent="0.4">
      <c r="A1754">
        <v>2313003101</v>
      </c>
      <c r="B1754">
        <v>2313003376</v>
      </c>
      <c r="C1754" t="str">
        <f>T("로드 오브 머니 276화")</f>
        <v>로드 오브 머니 276화</v>
      </c>
      <c r="D1754" t="str">
        <f>T("276")</f>
        <v>276</v>
      </c>
      <c r="E1754" t="str">
        <f t="shared" si="307"/>
        <v>무장</v>
      </c>
      <c r="H1754" t="str">
        <f t="shared" si="303"/>
        <v>스토리위즈</v>
      </c>
      <c r="I1754" t="str">
        <f t="shared" si="308"/>
        <v>로드 오브 머니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3</v>
      </c>
      <c r="AI1754">
        <v>0</v>
      </c>
      <c r="AJ1754">
        <v>0</v>
      </c>
      <c r="AK1754">
        <v>300</v>
      </c>
      <c r="AL1754">
        <v>0</v>
      </c>
      <c r="AM1754">
        <v>0</v>
      </c>
      <c r="AN1754">
        <v>0</v>
      </c>
      <c r="AO1754">
        <v>0</v>
      </c>
      <c r="AP1754">
        <v>210</v>
      </c>
      <c r="AT1754" t="str">
        <f t="shared" si="309"/>
        <v>9791188630066</v>
      </c>
      <c r="AV1754" t="str">
        <f t="shared" si="310"/>
        <v>판타지 웹소설 &gt; 현대 판타지</v>
      </c>
    </row>
    <row r="1755" spans="1:48" x14ac:dyDescent="0.4">
      <c r="A1755">
        <v>2313003101</v>
      </c>
      <c r="B1755">
        <v>2313003377</v>
      </c>
      <c r="C1755" t="str">
        <f>T("로드 오브 머니 277화")</f>
        <v>로드 오브 머니 277화</v>
      </c>
      <c r="D1755" t="str">
        <f>T("277")</f>
        <v>277</v>
      </c>
      <c r="E1755" t="str">
        <f t="shared" si="307"/>
        <v>무장</v>
      </c>
      <c r="H1755" t="str">
        <f t="shared" si="303"/>
        <v>스토리위즈</v>
      </c>
      <c r="I1755" t="str">
        <f t="shared" si="308"/>
        <v>로드 오브 머니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3</v>
      </c>
      <c r="AI1755">
        <v>0</v>
      </c>
      <c r="AJ1755">
        <v>0</v>
      </c>
      <c r="AK1755">
        <v>300</v>
      </c>
      <c r="AL1755">
        <v>0</v>
      </c>
      <c r="AM1755">
        <v>0</v>
      </c>
      <c r="AN1755">
        <v>0</v>
      </c>
      <c r="AO1755">
        <v>0</v>
      </c>
      <c r="AP1755">
        <v>210</v>
      </c>
      <c r="AT1755" t="str">
        <f t="shared" si="309"/>
        <v>9791188630066</v>
      </c>
      <c r="AV1755" t="str">
        <f t="shared" si="310"/>
        <v>판타지 웹소설 &gt; 현대 판타지</v>
      </c>
    </row>
    <row r="1756" spans="1:48" x14ac:dyDescent="0.4">
      <c r="A1756">
        <v>2313003101</v>
      </c>
      <c r="B1756">
        <v>2313003378</v>
      </c>
      <c r="C1756" t="str">
        <f>T("로드 오브 머니 278화")</f>
        <v>로드 오브 머니 278화</v>
      </c>
      <c r="D1756" t="str">
        <f>T("278")</f>
        <v>278</v>
      </c>
      <c r="E1756" t="str">
        <f t="shared" si="307"/>
        <v>무장</v>
      </c>
      <c r="H1756" t="str">
        <f t="shared" si="303"/>
        <v>스토리위즈</v>
      </c>
      <c r="I1756" t="str">
        <f t="shared" si="308"/>
        <v>로드 오브 머니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3</v>
      </c>
      <c r="AI1756">
        <v>0</v>
      </c>
      <c r="AJ1756">
        <v>0</v>
      </c>
      <c r="AK1756">
        <v>300</v>
      </c>
      <c r="AL1756">
        <v>0</v>
      </c>
      <c r="AM1756">
        <v>0</v>
      </c>
      <c r="AN1756">
        <v>0</v>
      </c>
      <c r="AO1756">
        <v>0</v>
      </c>
      <c r="AP1756">
        <v>210</v>
      </c>
      <c r="AT1756" t="str">
        <f t="shared" si="309"/>
        <v>9791188630066</v>
      </c>
      <c r="AV1756" t="str">
        <f t="shared" si="310"/>
        <v>판타지 웹소설 &gt; 현대 판타지</v>
      </c>
    </row>
    <row r="1757" spans="1:48" x14ac:dyDescent="0.4">
      <c r="A1757">
        <v>2313003101</v>
      </c>
      <c r="B1757">
        <v>2313003379</v>
      </c>
      <c r="C1757" t="str">
        <f>T("로드 오브 머니 279화")</f>
        <v>로드 오브 머니 279화</v>
      </c>
      <c r="D1757" t="str">
        <f>T("279")</f>
        <v>279</v>
      </c>
      <c r="E1757" t="str">
        <f t="shared" si="307"/>
        <v>무장</v>
      </c>
      <c r="H1757" t="str">
        <f t="shared" si="303"/>
        <v>스토리위즈</v>
      </c>
      <c r="I1757" t="str">
        <f t="shared" si="308"/>
        <v>로드 오브 머니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3</v>
      </c>
      <c r="AI1757">
        <v>0</v>
      </c>
      <c r="AJ1757">
        <v>0</v>
      </c>
      <c r="AK1757">
        <v>300</v>
      </c>
      <c r="AL1757">
        <v>0</v>
      </c>
      <c r="AM1757">
        <v>0</v>
      </c>
      <c r="AN1757">
        <v>0</v>
      </c>
      <c r="AO1757">
        <v>0</v>
      </c>
      <c r="AP1757">
        <v>210</v>
      </c>
      <c r="AT1757" t="str">
        <f t="shared" si="309"/>
        <v>9791188630066</v>
      </c>
      <c r="AV1757" t="str">
        <f t="shared" si="310"/>
        <v>판타지 웹소설 &gt; 현대 판타지</v>
      </c>
    </row>
    <row r="1758" spans="1:48" x14ac:dyDescent="0.4">
      <c r="A1758">
        <v>2313003101</v>
      </c>
      <c r="B1758">
        <v>2313003380</v>
      </c>
      <c r="C1758" t="str">
        <f>T("로드 오브 머니 280화")</f>
        <v>로드 오브 머니 280화</v>
      </c>
      <c r="D1758" t="str">
        <f>T("280")</f>
        <v>280</v>
      </c>
      <c r="E1758" t="str">
        <f t="shared" si="307"/>
        <v>무장</v>
      </c>
      <c r="H1758" t="str">
        <f t="shared" si="303"/>
        <v>스토리위즈</v>
      </c>
      <c r="I1758" t="str">
        <f t="shared" si="308"/>
        <v>로드 오브 머니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3</v>
      </c>
      <c r="AI1758">
        <v>0</v>
      </c>
      <c r="AJ1758">
        <v>0</v>
      </c>
      <c r="AK1758">
        <v>300</v>
      </c>
      <c r="AL1758">
        <v>0</v>
      </c>
      <c r="AM1758">
        <v>0</v>
      </c>
      <c r="AN1758">
        <v>0</v>
      </c>
      <c r="AO1758">
        <v>0</v>
      </c>
      <c r="AP1758">
        <v>210</v>
      </c>
      <c r="AT1758" t="str">
        <f t="shared" si="309"/>
        <v>9791188630066</v>
      </c>
      <c r="AV1758" t="str">
        <f t="shared" si="310"/>
        <v>판타지 웹소설 &gt; 현대 판타지</v>
      </c>
    </row>
    <row r="1759" spans="1:48" x14ac:dyDescent="0.4">
      <c r="A1759">
        <v>2313003101</v>
      </c>
      <c r="B1759">
        <v>2313003381</v>
      </c>
      <c r="C1759" t="str">
        <f>T("로드 오브 머니 281화")</f>
        <v>로드 오브 머니 281화</v>
      </c>
      <c r="D1759" t="str">
        <f>T("281")</f>
        <v>281</v>
      </c>
      <c r="E1759" t="str">
        <f t="shared" si="307"/>
        <v>무장</v>
      </c>
      <c r="H1759" t="str">
        <f t="shared" si="303"/>
        <v>스토리위즈</v>
      </c>
      <c r="I1759" t="str">
        <f t="shared" si="308"/>
        <v>로드 오브 머니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3</v>
      </c>
      <c r="AI1759">
        <v>0</v>
      </c>
      <c r="AJ1759">
        <v>0</v>
      </c>
      <c r="AK1759">
        <v>300</v>
      </c>
      <c r="AL1759">
        <v>0</v>
      </c>
      <c r="AM1759">
        <v>0</v>
      </c>
      <c r="AN1759">
        <v>0</v>
      </c>
      <c r="AO1759">
        <v>0</v>
      </c>
      <c r="AP1759">
        <v>210</v>
      </c>
      <c r="AT1759" t="str">
        <f t="shared" si="309"/>
        <v>9791188630066</v>
      </c>
      <c r="AV1759" t="str">
        <f t="shared" si="310"/>
        <v>판타지 웹소설 &gt; 현대 판타지</v>
      </c>
    </row>
    <row r="1760" spans="1:48" x14ac:dyDescent="0.4">
      <c r="A1760">
        <v>2313003101</v>
      </c>
      <c r="B1760">
        <v>2313003382</v>
      </c>
      <c r="C1760" t="str">
        <f>T("로드 오브 머니 282화")</f>
        <v>로드 오브 머니 282화</v>
      </c>
      <c r="D1760" t="str">
        <f>T("282")</f>
        <v>282</v>
      </c>
      <c r="E1760" t="str">
        <f t="shared" si="307"/>
        <v>무장</v>
      </c>
      <c r="H1760" t="str">
        <f t="shared" si="303"/>
        <v>스토리위즈</v>
      </c>
      <c r="I1760" t="str">
        <f t="shared" si="308"/>
        <v>로드 오브 머니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3</v>
      </c>
      <c r="AI1760">
        <v>0</v>
      </c>
      <c r="AJ1760">
        <v>0</v>
      </c>
      <c r="AK1760">
        <v>300</v>
      </c>
      <c r="AL1760">
        <v>0</v>
      </c>
      <c r="AM1760">
        <v>0</v>
      </c>
      <c r="AN1760">
        <v>0</v>
      </c>
      <c r="AO1760">
        <v>0</v>
      </c>
      <c r="AP1760">
        <v>210</v>
      </c>
      <c r="AT1760" t="str">
        <f t="shared" si="309"/>
        <v>9791188630066</v>
      </c>
      <c r="AV1760" t="str">
        <f t="shared" si="310"/>
        <v>판타지 웹소설 &gt; 현대 판타지</v>
      </c>
    </row>
    <row r="1761" spans="1:48" x14ac:dyDescent="0.4">
      <c r="A1761">
        <v>2313003101</v>
      </c>
      <c r="B1761">
        <v>2313003383</v>
      </c>
      <c r="C1761" t="str">
        <f>T("로드 오브 머니 283화")</f>
        <v>로드 오브 머니 283화</v>
      </c>
      <c r="D1761" t="str">
        <f>T("283")</f>
        <v>283</v>
      </c>
      <c r="E1761" t="str">
        <f t="shared" si="307"/>
        <v>무장</v>
      </c>
      <c r="H1761" t="str">
        <f t="shared" si="303"/>
        <v>스토리위즈</v>
      </c>
      <c r="I1761" t="str">
        <f t="shared" si="308"/>
        <v>로드 오브 머니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3</v>
      </c>
      <c r="AI1761">
        <v>0</v>
      </c>
      <c r="AJ1761">
        <v>0</v>
      </c>
      <c r="AK1761">
        <v>300</v>
      </c>
      <c r="AL1761">
        <v>0</v>
      </c>
      <c r="AM1761">
        <v>0</v>
      </c>
      <c r="AN1761">
        <v>0</v>
      </c>
      <c r="AO1761">
        <v>0</v>
      </c>
      <c r="AP1761">
        <v>210</v>
      </c>
      <c r="AT1761" t="str">
        <f t="shared" si="309"/>
        <v>9791188630066</v>
      </c>
      <c r="AV1761" t="str">
        <f t="shared" si="310"/>
        <v>판타지 웹소설 &gt; 현대 판타지</v>
      </c>
    </row>
    <row r="1762" spans="1:48" x14ac:dyDescent="0.4">
      <c r="A1762">
        <v>2313003101</v>
      </c>
      <c r="B1762">
        <v>2313003384</v>
      </c>
      <c r="C1762" t="str">
        <f>T("로드 오브 머니 284화")</f>
        <v>로드 오브 머니 284화</v>
      </c>
      <c r="D1762" t="str">
        <f>T("284")</f>
        <v>284</v>
      </c>
      <c r="E1762" t="str">
        <f t="shared" si="307"/>
        <v>무장</v>
      </c>
      <c r="H1762" t="str">
        <f t="shared" si="303"/>
        <v>스토리위즈</v>
      </c>
      <c r="I1762" t="str">
        <f t="shared" si="308"/>
        <v>로드 오브 머니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3</v>
      </c>
      <c r="AI1762">
        <v>0</v>
      </c>
      <c r="AJ1762">
        <v>0</v>
      </c>
      <c r="AK1762">
        <v>300</v>
      </c>
      <c r="AL1762">
        <v>0</v>
      </c>
      <c r="AM1762">
        <v>0</v>
      </c>
      <c r="AN1762">
        <v>0</v>
      </c>
      <c r="AO1762">
        <v>0</v>
      </c>
      <c r="AP1762">
        <v>210</v>
      </c>
      <c r="AT1762" t="str">
        <f t="shared" si="309"/>
        <v>9791188630066</v>
      </c>
      <c r="AV1762" t="str">
        <f t="shared" si="310"/>
        <v>판타지 웹소설 &gt; 현대 판타지</v>
      </c>
    </row>
    <row r="1763" spans="1:48" x14ac:dyDescent="0.4">
      <c r="A1763">
        <v>2313008150</v>
      </c>
      <c r="B1763">
        <v>2313008181</v>
      </c>
      <c r="C1763" t="str">
        <f>T("기사가문 망나니는 10클래스 32화")</f>
        <v>기사가문 망나니는 10클래스 32화</v>
      </c>
      <c r="D1763" t="str">
        <f>T("32")</f>
        <v>32</v>
      </c>
      <c r="E1763" t="str">
        <f t="shared" ref="E1763:E1784" si="311">T("예로나")</f>
        <v>예로나</v>
      </c>
      <c r="H1763" t="str">
        <f t="shared" si="303"/>
        <v>스토리위즈</v>
      </c>
      <c r="I1763" t="str">
        <f t="shared" ref="I1763:I1784" si="312">T("기사가문 망나니는 10클래스")</f>
        <v>기사가문 망나니는 10클래스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3</v>
      </c>
      <c r="AI1763">
        <v>0</v>
      </c>
      <c r="AJ1763">
        <v>0</v>
      </c>
      <c r="AK1763">
        <v>300</v>
      </c>
      <c r="AL1763">
        <v>0</v>
      </c>
      <c r="AM1763">
        <v>0</v>
      </c>
      <c r="AN1763">
        <v>0</v>
      </c>
      <c r="AO1763">
        <v>0</v>
      </c>
      <c r="AP1763">
        <v>210</v>
      </c>
      <c r="AT1763" t="str">
        <f t="shared" ref="AT1763:AT1784" si="313">T("9791165310370")</f>
        <v>9791165310370</v>
      </c>
      <c r="AV1763" t="str">
        <f t="shared" ref="AV1763:AV1784" si="314">T("판타지 웹소설 &gt; 퓨전 판타지")</f>
        <v>판타지 웹소설 &gt; 퓨전 판타지</v>
      </c>
    </row>
    <row r="1764" spans="1:48" x14ac:dyDescent="0.4">
      <c r="A1764">
        <v>2313008150</v>
      </c>
      <c r="B1764">
        <v>2313008182</v>
      </c>
      <c r="C1764" t="str">
        <f>T("기사가문 망나니는 10클래스 33화")</f>
        <v>기사가문 망나니는 10클래스 33화</v>
      </c>
      <c r="D1764" t="str">
        <f>T("33")</f>
        <v>33</v>
      </c>
      <c r="E1764" t="str">
        <f t="shared" si="311"/>
        <v>예로나</v>
      </c>
      <c r="H1764" t="str">
        <f t="shared" si="303"/>
        <v>스토리위즈</v>
      </c>
      <c r="I1764" t="str">
        <f t="shared" si="312"/>
        <v>기사가문 망나니는 10클래스</v>
      </c>
      <c r="J1764">
        <v>100</v>
      </c>
      <c r="K1764">
        <v>300</v>
      </c>
      <c r="L1764">
        <v>3</v>
      </c>
      <c r="M1764">
        <v>0</v>
      </c>
      <c r="N1764">
        <v>100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400</v>
      </c>
      <c r="AH1764">
        <v>4</v>
      </c>
      <c r="AI1764">
        <v>0</v>
      </c>
      <c r="AJ1764">
        <v>0</v>
      </c>
      <c r="AK1764">
        <v>400</v>
      </c>
      <c r="AL1764">
        <v>0</v>
      </c>
      <c r="AM1764">
        <v>0</v>
      </c>
      <c r="AN1764">
        <v>0</v>
      </c>
      <c r="AO1764">
        <v>0</v>
      </c>
      <c r="AP1764">
        <v>280</v>
      </c>
      <c r="AT1764" t="str">
        <f t="shared" si="313"/>
        <v>9791165310370</v>
      </c>
      <c r="AV1764" t="str">
        <f t="shared" si="314"/>
        <v>판타지 웹소설 &gt; 퓨전 판타지</v>
      </c>
    </row>
    <row r="1765" spans="1:48" x14ac:dyDescent="0.4">
      <c r="A1765">
        <v>2313008150</v>
      </c>
      <c r="B1765">
        <v>2313008183</v>
      </c>
      <c r="C1765" t="str">
        <f>T("기사가문 망나니는 10클래스 34화")</f>
        <v>기사가문 망나니는 10클래스 34화</v>
      </c>
      <c r="D1765" t="str">
        <f>T("34")</f>
        <v>34</v>
      </c>
      <c r="E1765" t="str">
        <f t="shared" si="311"/>
        <v>예로나</v>
      </c>
      <c r="H1765" t="str">
        <f t="shared" si="303"/>
        <v>스토리위즈</v>
      </c>
      <c r="I1765" t="str">
        <f t="shared" si="312"/>
        <v>기사가문 망나니는 10클래스</v>
      </c>
      <c r="J1765">
        <v>100</v>
      </c>
      <c r="K1765">
        <v>300</v>
      </c>
      <c r="L1765">
        <v>3</v>
      </c>
      <c r="M1765">
        <v>0</v>
      </c>
      <c r="N1765">
        <v>100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400</v>
      </c>
      <c r="AH1765">
        <v>4</v>
      </c>
      <c r="AI1765">
        <v>0</v>
      </c>
      <c r="AJ1765">
        <v>0</v>
      </c>
      <c r="AK1765">
        <v>400</v>
      </c>
      <c r="AL1765">
        <v>0</v>
      </c>
      <c r="AM1765">
        <v>0</v>
      </c>
      <c r="AN1765">
        <v>0</v>
      </c>
      <c r="AO1765">
        <v>0</v>
      </c>
      <c r="AP1765">
        <v>280</v>
      </c>
      <c r="AT1765" t="str">
        <f t="shared" si="313"/>
        <v>9791165310370</v>
      </c>
      <c r="AV1765" t="str">
        <f t="shared" si="314"/>
        <v>판타지 웹소설 &gt; 퓨전 판타지</v>
      </c>
    </row>
    <row r="1766" spans="1:48" x14ac:dyDescent="0.4">
      <c r="A1766">
        <v>2313008150</v>
      </c>
      <c r="B1766">
        <v>2313008184</v>
      </c>
      <c r="C1766" t="str">
        <f>T("기사가문 망나니는 10클래스 35화")</f>
        <v>기사가문 망나니는 10클래스 35화</v>
      </c>
      <c r="D1766" t="str">
        <f>T("35")</f>
        <v>35</v>
      </c>
      <c r="E1766" t="str">
        <f t="shared" si="311"/>
        <v>예로나</v>
      </c>
      <c r="H1766" t="str">
        <f t="shared" si="303"/>
        <v>스토리위즈</v>
      </c>
      <c r="I1766" t="str">
        <f t="shared" si="312"/>
        <v>기사가문 망나니는 10클래스</v>
      </c>
      <c r="J1766">
        <v>100</v>
      </c>
      <c r="K1766">
        <v>300</v>
      </c>
      <c r="L1766">
        <v>3</v>
      </c>
      <c r="M1766">
        <v>0</v>
      </c>
      <c r="N1766">
        <v>100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400</v>
      </c>
      <c r="AH1766">
        <v>4</v>
      </c>
      <c r="AI1766">
        <v>0</v>
      </c>
      <c r="AJ1766">
        <v>0</v>
      </c>
      <c r="AK1766">
        <v>400</v>
      </c>
      <c r="AL1766">
        <v>0</v>
      </c>
      <c r="AM1766">
        <v>0</v>
      </c>
      <c r="AN1766">
        <v>0</v>
      </c>
      <c r="AO1766">
        <v>0</v>
      </c>
      <c r="AP1766">
        <v>280</v>
      </c>
      <c r="AT1766" t="str">
        <f t="shared" si="313"/>
        <v>9791165310370</v>
      </c>
      <c r="AV1766" t="str">
        <f t="shared" si="314"/>
        <v>판타지 웹소설 &gt; 퓨전 판타지</v>
      </c>
    </row>
    <row r="1767" spans="1:48" x14ac:dyDescent="0.4">
      <c r="A1767">
        <v>2313008150</v>
      </c>
      <c r="B1767">
        <v>2313008185</v>
      </c>
      <c r="C1767" t="str">
        <f>T("기사가문 망나니는 10클래스 36화")</f>
        <v>기사가문 망나니는 10클래스 36화</v>
      </c>
      <c r="D1767" t="str">
        <f>T("36")</f>
        <v>36</v>
      </c>
      <c r="E1767" t="str">
        <f t="shared" si="311"/>
        <v>예로나</v>
      </c>
      <c r="H1767" t="str">
        <f t="shared" si="303"/>
        <v>스토리위즈</v>
      </c>
      <c r="I1767" t="str">
        <f t="shared" si="312"/>
        <v>기사가문 망나니는 10클래스</v>
      </c>
      <c r="J1767">
        <v>100</v>
      </c>
      <c r="K1767">
        <v>300</v>
      </c>
      <c r="L1767">
        <v>3</v>
      </c>
      <c r="M1767">
        <v>0</v>
      </c>
      <c r="N1767">
        <v>100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400</v>
      </c>
      <c r="AH1767">
        <v>4</v>
      </c>
      <c r="AI1767">
        <v>0</v>
      </c>
      <c r="AJ1767">
        <v>0</v>
      </c>
      <c r="AK1767">
        <v>400</v>
      </c>
      <c r="AL1767">
        <v>0</v>
      </c>
      <c r="AM1767">
        <v>0</v>
      </c>
      <c r="AN1767">
        <v>0</v>
      </c>
      <c r="AO1767">
        <v>0</v>
      </c>
      <c r="AP1767">
        <v>280</v>
      </c>
      <c r="AT1767" t="str">
        <f t="shared" si="313"/>
        <v>9791165310370</v>
      </c>
      <c r="AV1767" t="str">
        <f t="shared" si="314"/>
        <v>판타지 웹소설 &gt; 퓨전 판타지</v>
      </c>
    </row>
    <row r="1768" spans="1:48" x14ac:dyDescent="0.4">
      <c r="A1768">
        <v>2313008150</v>
      </c>
      <c r="B1768">
        <v>2313008186</v>
      </c>
      <c r="C1768" t="str">
        <f>T("기사가문 망나니는 10클래스 37화")</f>
        <v>기사가문 망나니는 10클래스 37화</v>
      </c>
      <c r="D1768" t="str">
        <f>T("37")</f>
        <v>37</v>
      </c>
      <c r="E1768" t="str">
        <f t="shared" si="311"/>
        <v>예로나</v>
      </c>
      <c r="H1768" t="str">
        <f t="shared" si="303"/>
        <v>스토리위즈</v>
      </c>
      <c r="I1768" t="str">
        <f t="shared" si="312"/>
        <v>기사가문 망나니는 10클래스</v>
      </c>
      <c r="J1768">
        <v>100</v>
      </c>
      <c r="K1768">
        <v>300</v>
      </c>
      <c r="L1768">
        <v>3</v>
      </c>
      <c r="M1768">
        <v>0</v>
      </c>
      <c r="N1768">
        <v>100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400</v>
      </c>
      <c r="AH1768">
        <v>4</v>
      </c>
      <c r="AI1768">
        <v>0</v>
      </c>
      <c r="AJ1768">
        <v>0</v>
      </c>
      <c r="AK1768">
        <v>400</v>
      </c>
      <c r="AL1768">
        <v>0</v>
      </c>
      <c r="AM1768">
        <v>0</v>
      </c>
      <c r="AN1768">
        <v>0</v>
      </c>
      <c r="AO1768">
        <v>0</v>
      </c>
      <c r="AP1768">
        <v>280</v>
      </c>
      <c r="AT1768" t="str">
        <f t="shared" si="313"/>
        <v>9791165310370</v>
      </c>
      <c r="AV1768" t="str">
        <f t="shared" si="314"/>
        <v>판타지 웹소설 &gt; 퓨전 판타지</v>
      </c>
    </row>
    <row r="1769" spans="1:48" x14ac:dyDescent="0.4">
      <c r="A1769">
        <v>2313008150</v>
      </c>
      <c r="B1769">
        <v>2313008187</v>
      </c>
      <c r="C1769" t="str">
        <f>T("기사가문 망나니는 10클래스 38화")</f>
        <v>기사가문 망나니는 10클래스 38화</v>
      </c>
      <c r="D1769" t="str">
        <f>T("38")</f>
        <v>38</v>
      </c>
      <c r="E1769" t="str">
        <f t="shared" si="311"/>
        <v>예로나</v>
      </c>
      <c r="H1769" t="str">
        <f t="shared" si="303"/>
        <v>스토리위즈</v>
      </c>
      <c r="I1769" t="str">
        <f t="shared" si="312"/>
        <v>기사가문 망나니는 10클래스</v>
      </c>
      <c r="J1769">
        <v>100</v>
      </c>
      <c r="K1769">
        <v>300</v>
      </c>
      <c r="L1769">
        <v>3</v>
      </c>
      <c r="M1769">
        <v>0</v>
      </c>
      <c r="N1769">
        <v>100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400</v>
      </c>
      <c r="AH1769">
        <v>4</v>
      </c>
      <c r="AI1769">
        <v>0</v>
      </c>
      <c r="AJ1769">
        <v>0</v>
      </c>
      <c r="AK1769">
        <v>400</v>
      </c>
      <c r="AL1769">
        <v>0</v>
      </c>
      <c r="AM1769">
        <v>0</v>
      </c>
      <c r="AN1769">
        <v>0</v>
      </c>
      <c r="AO1769">
        <v>0</v>
      </c>
      <c r="AP1769">
        <v>280</v>
      </c>
      <c r="AT1769" t="str">
        <f t="shared" si="313"/>
        <v>9791165310370</v>
      </c>
      <c r="AV1769" t="str">
        <f t="shared" si="314"/>
        <v>판타지 웹소설 &gt; 퓨전 판타지</v>
      </c>
    </row>
    <row r="1770" spans="1:48" x14ac:dyDescent="0.4">
      <c r="A1770">
        <v>2313008150</v>
      </c>
      <c r="B1770">
        <v>2313008188</v>
      </c>
      <c r="C1770" t="str">
        <f>T("기사가문 망나니는 10클래스 39화")</f>
        <v>기사가문 망나니는 10클래스 39화</v>
      </c>
      <c r="D1770" t="str">
        <f>T("39")</f>
        <v>39</v>
      </c>
      <c r="E1770" t="str">
        <f t="shared" si="311"/>
        <v>예로나</v>
      </c>
      <c r="H1770" t="str">
        <f t="shared" si="303"/>
        <v>스토리위즈</v>
      </c>
      <c r="I1770" t="str">
        <f t="shared" si="312"/>
        <v>기사가문 망나니는 10클래스</v>
      </c>
      <c r="J1770">
        <v>100</v>
      </c>
      <c r="K1770">
        <v>300</v>
      </c>
      <c r="L1770">
        <v>3</v>
      </c>
      <c r="M1770">
        <v>0</v>
      </c>
      <c r="N1770">
        <v>100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400</v>
      </c>
      <c r="AH1770">
        <v>4</v>
      </c>
      <c r="AI1770">
        <v>0</v>
      </c>
      <c r="AJ1770">
        <v>0</v>
      </c>
      <c r="AK1770">
        <v>400</v>
      </c>
      <c r="AL1770">
        <v>0</v>
      </c>
      <c r="AM1770">
        <v>0</v>
      </c>
      <c r="AN1770">
        <v>0</v>
      </c>
      <c r="AO1770">
        <v>0</v>
      </c>
      <c r="AP1770">
        <v>280</v>
      </c>
      <c r="AT1770" t="str">
        <f t="shared" si="313"/>
        <v>9791165310370</v>
      </c>
      <c r="AV1770" t="str">
        <f t="shared" si="314"/>
        <v>판타지 웹소설 &gt; 퓨전 판타지</v>
      </c>
    </row>
    <row r="1771" spans="1:48" x14ac:dyDescent="0.4">
      <c r="A1771">
        <v>2313008150</v>
      </c>
      <c r="B1771">
        <v>2313008189</v>
      </c>
      <c r="C1771" t="str">
        <f>T("기사가문 망나니는 10클래스 40화")</f>
        <v>기사가문 망나니는 10클래스 40화</v>
      </c>
      <c r="D1771" t="str">
        <f>T("40")</f>
        <v>40</v>
      </c>
      <c r="E1771" t="str">
        <f t="shared" si="311"/>
        <v>예로나</v>
      </c>
      <c r="H1771" t="str">
        <f t="shared" si="303"/>
        <v>스토리위즈</v>
      </c>
      <c r="I1771" t="str">
        <f t="shared" si="312"/>
        <v>기사가문 망나니는 10클래스</v>
      </c>
      <c r="J1771">
        <v>100</v>
      </c>
      <c r="K1771">
        <v>300</v>
      </c>
      <c r="L1771">
        <v>3</v>
      </c>
      <c r="M1771">
        <v>0</v>
      </c>
      <c r="N1771">
        <v>200</v>
      </c>
      <c r="O1771">
        <v>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500</v>
      </c>
      <c r="AH1771">
        <v>5</v>
      </c>
      <c r="AI1771">
        <v>0</v>
      </c>
      <c r="AJ1771">
        <v>0</v>
      </c>
      <c r="AK1771">
        <v>500</v>
      </c>
      <c r="AL1771">
        <v>0</v>
      </c>
      <c r="AM1771">
        <v>0</v>
      </c>
      <c r="AN1771">
        <v>0</v>
      </c>
      <c r="AO1771">
        <v>0</v>
      </c>
      <c r="AP1771">
        <v>350</v>
      </c>
      <c r="AT1771" t="str">
        <f t="shared" si="313"/>
        <v>9791165310370</v>
      </c>
      <c r="AV1771" t="str">
        <f t="shared" si="314"/>
        <v>판타지 웹소설 &gt; 퓨전 판타지</v>
      </c>
    </row>
    <row r="1772" spans="1:48" x14ac:dyDescent="0.4">
      <c r="A1772">
        <v>2313008150</v>
      </c>
      <c r="B1772">
        <v>2313008200</v>
      </c>
      <c r="C1772" t="str">
        <f>T("기사가문 망나니는 10클래스 51화")</f>
        <v>기사가문 망나니는 10클래스 51화</v>
      </c>
      <c r="D1772" t="str">
        <f>T("51")</f>
        <v>51</v>
      </c>
      <c r="E1772" t="str">
        <f t="shared" si="311"/>
        <v>예로나</v>
      </c>
      <c r="H1772" t="str">
        <f t="shared" si="303"/>
        <v>스토리위즈</v>
      </c>
      <c r="I1772" t="str">
        <f t="shared" si="312"/>
        <v>기사가문 망나니는 10클래스</v>
      </c>
      <c r="J1772">
        <v>100</v>
      </c>
      <c r="K1772">
        <v>300</v>
      </c>
      <c r="L1772">
        <v>3</v>
      </c>
      <c r="M1772">
        <v>0</v>
      </c>
      <c r="N1772">
        <v>100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400</v>
      </c>
      <c r="AH1772">
        <v>4</v>
      </c>
      <c r="AI1772">
        <v>0</v>
      </c>
      <c r="AJ1772">
        <v>0</v>
      </c>
      <c r="AK1772">
        <v>400</v>
      </c>
      <c r="AL1772">
        <v>0</v>
      </c>
      <c r="AM1772">
        <v>0</v>
      </c>
      <c r="AN1772">
        <v>0</v>
      </c>
      <c r="AO1772">
        <v>0</v>
      </c>
      <c r="AP1772">
        <v>280</v>
      </c>
      <c r="AT1772" t="str">
        <f t="shared" si="313"/>
        <v>9791165310370</v>
      </c>
      <c r="AV1772" t="str">
        <f t="shared" si="314"/>
        <v>판타지 웹소설 &gt; 퓨전 판타지</v>
      </c>
    </row>
    <row r="1773" spans="1:48" x14ac:dyDescent="0.4">
      <c r="A1773">
        <v>2313008150</v>
      </c>
      <c r="B1773">
        <v>2313008201</v>
      </c>
      <c r="C1773" t="str">
        <f>T("기사가문 망나니는 10클래스 52화")</f>
        <v>기사가문 망나니는 10클래스 52화</v>
      </c>
      <c r="D1773" t="str">
        <f>T("52")</f>
        <v>52</v>
      </c>
      <c r="E1773" t="str">
        <f t="shared" si="311"/>
        <v>예로나</v>
      </c>
      <c r="H1773" t="str">
        <f t="shared" si="303"/>
        <v>스토리위즈</v>
      </c>
      <c r="I1773" t="str">
        <f t="shared" si="312"/>
        <v>기사가문 망나니는 10클래스</v>
      </c>
      <c r="J1773">
        <v>100</v>
      </c>
      <c r="K1773">
        <v>300</v>
      </c>
      <c r="L1773">
        <v>3</v>
      </c>
      <c r="M1773">
        <v>0</v>
      </c>
      <c r="N1773">
        <v>100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400</v>
      </c>
      <c r="AH1773">
        <v>4</v>
      </c>
      <c r="AI1773">
        <v>0</v>
      </c>
      <c r="AJ1773">
        <v>0</v>
      </c>
      <c r="AK1773">
        <v>400</v>
      </c>
      <c r="AL1773">
        <v>0</v>
      </c>
      <c r="AM1773">
        <v>0</v>
      </c>
      <c r="AN1773">
        <v>0</v>
      </c>
      <c r="AO1773">
        <v>0</v>
      </c>
      <c r="AP1773">
        <v>280</v>
      </c>
      <c r="AT1773" t="str">
        <f t="shared" si="313"/>
        <v>9791165310370</v>
      </c>
      <c r="AV1773" t="str">
        <f t="shared" si="314"/>
        <v>판타지 웹소설 &gt; 퓨전 판타지</v>
      </c>
    </row>
    <row r="1774" spans="1:48" x14ac:dyDescent="0.4">
      <c r="A1774">
        <v>2313008150</v>
      </c>
      <c r="B1774">
        <v>2313008202</v>
      </c>
      <c r="C1774" t="str">
        <f>T("기사가문 망나니는 10클래스 53화")</f>
        <v>기사가문 망나니는 10클래스 53화</v>
      </c>
      <c r="D1774" t="str">
        <f>T("53")</f>
        <v>53</v>
      </c>
      <c r="E1774" t="str">
        <f t="shared" si="311"/>
        <v>예로나</v>
      </c>
      <c r="H1774" t="str">
        <f t="shared" si="303"/>
        <v>스토리위즈</v>
      </c>
      <c r="I1774" t="str">
        <f t="shared" si="312"/>
        <v>기사가문 망나니는 10클래스</v>
      </c>
      <c r="J1774">
        <v>100</v>
      </c>
      <c r="K1774">
        <v>300</v>
      </c>
      <c r="L1774">
        <v>3</v>
      </c>
      <c r="M1774">
        <v>0</v>
      </c>
      <c r="N1774">
        <v>100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400</v>
      </c>
      <c r="AH1774">
        <v>4</v>
      </c>
      <c r="AI1774">
        <v>0</v>
      </c>
      <c r="AJ1774">
        <v>0</v>
      </c>
      <c r="AK1774">
        <v>400</v>
      </c>
      <c r="AL1774">
        <v>0</v>
      </c>
      <c r="AM1774">
        <v>0</v>
      </c>
      <c r="AN1774">
        <v>0</v>
      </c>
      <c r="AO1774">
        <v>0</v>
      </c>
      <c r="AP1774">
        <v>280</v>
      </c>
      <c r="AT1774" t="str">
        <f t="shared" si="313"/>
        <v>9791165310370</v>
      </c>
      <c r="AV1774" t="str">
        <f t="shared" si="314"/>
        <v>판타지 웹소설 &gt; 퓨전 판타지</v>
      </c>
    </row>
    <row r="1775" spans="1:48" x14ac:dyDescent="0.4">
      <c r="A1775">
        <v>2313008150</v>
      </c>
      <c r="B1775">
        <v>2313008203</v>
      </c>
      <c r="C1775" t="str">
        <f>T("기사가문 망나니는 10클래스 54화")</f>
        <v>기사가문 망나니는 10클래스 54화</v>
      </c>
      <c r="D1775" t="str">
        <f>T("54")</f>
        <v>54</v>
      </c>
      <c r="E1775" t="str">
        <f t="shared" si="311"/>
        <v>예로나</v>
      </c>
      <c r="H1775" t="str">
        <f t="shared" si="303"/>
        <v>스토리위즈</v>
      </c>
      <c r="I1775" t="str">
        <f t="shared" si="312"/>
        <v>기사가문 망나니는 10클래스</v>
      </c>
      <c r="J1775">
        <v>100</v>
      </c>
      <c r="K1775">
        <v>300</v>
      </c>
      <c r="L1775">
        <v>3</v>
      </c>
      <c r="M1775">
        <v>0</v>
      </c>
      <c r="N1775">
        <v>100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400</v>
      </c>
      <c r="AH1775">
        <v>4</v>
      </c>
      <c r="AI1775">
        <v>0</v>
      </c>
      <c r="AJ1775">
        <v>0</v>
      </c>
      <c r="AK1775">
        <v>400</v>
      </c>
      <c r="AL1775">
        <v>0</v>
      </c>
      <c r="AM1775">
        <v>0</v>
      </c>
      <c r="AN1775">
        <v>0</v>
      </c>
      <c r="AO1775">
        <v>0</v>
      </c>
      <c r="AP1775">
        <v>280</v>
      </c>
      <c r="AT1775" t="str">
        <f t="shared" si="313"/>
        <v>9791165310370</v>
      </c>
      <c r="AV1775" t="str">
        <f t="shared" si="314"/>
        <v>판타지 웹소설 &gt; 퓨전 판타지</v>
      </c>
    </row>
    <row r="1776" spans="1:48" x14ac:dyDescent="0.4">
      <c r="A1776">
        <v>2313008150</v>
      </c>
      <c r="B1776">
        <v>2313008204</v>
      </c>
      <c r="C1776" t="str">
        <f>T("기사가문 망나니는 10클래스 55화")</f>
        <v>기사가문 망나니는 10클래스 55화</v>
      </c>
      <c r="D1776" t="str">
        <f>T("55")</f>
        <v>55</v>
      </c>
      <c r="E1776" t="str">
        <f t="shared" si="311"/>
        <v>예로나</v>
      </c>
      <c r="H1776" t="str">
        <f t="shared" si="303"/>
        <v>스토리위즈</v>
      </c>
      <c r="I1776" t="str">
        <f t="shared" si="312"/>
        <v>기사가문 망나니는 10클래스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3</v>
      </c>
      <c r="AI1776">
        <v>0</v>
      </c>
      <c r="AJ1776">
        <v>0</v>
      </c>
      <c r="AK1776">
        <v>300</v>
      </c>
      <c r="AL1776">
        <v>0</v>
      </c>
      <c r="AM1776">
        <v>0</v>
      </c>
      <c r="AN1776">
        <v>0</v>
      </c>
      <c r="AO1776">
        <v>0</v>
      </c>
      <c r="AP1776">
        <v>210</v>
      </c>
      <c r="AT1776" t="str">
        <f t="shared" si="313"/>
        <v>9791165310370</v>
      </c>
      <c r="AV1776" t="str">
        <f t="shared" si="314"/>
        <v>판타지 웹소설 &gt; 퓨전 판타지</v>
      </c>
    </row>
    <row r="1777" spans="1:48" x14ac:dyDescent="0.4">
      <c r="A1777">
        <v>2313008150</v>
      </c>
      <c r="B1777">
        <v>2313008205</v>
      </c>
      <c r="C1777" t="str">
        <f>T("기사가문 망나니는 10클래스 56화")</f>
        <v>기사가문 망나니는 10클래스 56화</v>
      </c>
      <c r="D1777" t="str">
        <f>T("56")</f>
        <v>56</v>
      </c>
      <c r="E1777" t="str">
        <f t="shared" si="311"/>
        <v>예로나</v>
      </c>
      <c r="H1777" t="str">
        <f t="shared" si="303"/>
        <v>스토리위즈</v>
      </c>
      <c r="I1777" t="str">
        <f t="shared" si="312"/>
        <v>기사가문 망나니는 10클래스</v>
      </c>
      <c r="J1777">
        <v>100</v>
      </c>
      <c r="K1777">
        <v>300</v>
      </c>
      <c r="L1777">
        <v>3</v>
      </c>
      <c r="M1777">
        <v>0</v>
      </c>
      <c r="N1777">
        <v>100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400</v>
      </c>
      <c r="AH1777">
        <v>4</v>
      </c>
      <c r="AI1777">
        <v>0</v>
      </c>
      <c r="AJ1777">
        <v>0</v>
      </c>
      <c r="AK1777">
        <v>400</v>
      </c>
      <c r="AL1777">
        <v>0</v>
      </c>
      <c r="AM1777">
        <v>0</v>
      </c>
      <c r="AN1777">
        <v>0</v>
      </c>
      <c r="AO1777">
        <v>0</v>
      </c>
      <c r="AP1777">
        <v>280</v>
      </c>
      <c r="AT1777" t="str">
        <f t="shared" si="313"/>
        <v>9791165310370</v>
      </c>
      <c r="AV1777" t="str">
        <f t="shared" si="314"/>
        <v>판타지 웹소설 &gt; 퓨전 판타지</v>
      </c>
    </row>
    <row r="1778" spans="1:48" x14ac:dyDescent="0.4">
      <c r="A1778">
        <v>2313008150</v>
      </c>
      <c r="B1778">
        <v>2313008206</v>
      </c>
      <c r="C1778" t="str">
        <f>T("기사가문 망나니는 10클래스 57화")</f>
        <v>기사가문 망나니는 10클래스 57화</v>
      </c>
      <c r="D1778" t="str">
        <f>T("57")</f>
        <v>57</v>
      </c>
      <c r="E1778" t="str">
        <f t="shared" si="311"/>
        <v>예로나</v>
      </c>
      <c r="H1778" t="str">
        <f t="shared" si="303"/>
        <v>스토리위즈</v>
      </c>
      <c r="I1778" t="str">
        <f t="shared" si="312"/>
        <v>기사가문 망나니는 10클래스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3</v>
      </c>
      <c r="AI1778">
        <v>0</v>
      </c>
      <c r="AJ1778">
        <v>0</v>
      </c>
      <c r="AK1778">
        <v>300</v>
      </c>
      <c r="AL1778">
        <v>0</v>
      </c>
      <c r="AM1778">
        <v>0</v>
      </c>
      <c r="AN1778">
        <v>0</v>
      </c>
      <c r="AO1778">
        <v>0</v>
      </c>
      <c r="AP1778">
        <v>210</v>
      </c>
      <c r="AT1778" t="str">
        <f t="shared" si="313"/>
        <v>9791165310370</v>
      </c>
      <c r="AV1778" t="str">
        <f t="shared" si="314"/>
        <v>판타지 웹소설 &gt; 퓨전 판타지</v>
      </c>
    </row>
    <row r="1779" spans="1:48" x14ac:dyDescent="0.4">
      <c r="A1779">
        <v>2313008150</v>
      </c>
      <c r="B1779">
        <v>2313008207</v>
      </c>
      <c r="C1779" t="str">
        <f>T("기사가문 망나니는 10클래스 58화")</f>
        <v>기사가문 망나니는 10클래스 58화</v>
      </c>
      <c r="D1779" t="str">
        <f>T("58")</f>
        <v>58</v>
      </c>
      <c r="E1779" t="str">
        <f t="shared" si="311"/>
        <v>예로나</v>
      </c>
      <c r="H1779" t="str">
        <f t="shared" si="303"/>
        <v>스토리위즈</v>
      </c>
      <c r="I1779" t="str">
        <f t="shared" si="312"/>
        <v>기사가문 망나니는 10클래스</v>
      </c>
      <c r="J1779">
        <v>100</v>
      </c>
      <c r="K1779">
        <v>300</v>
      </c>
      <c r="L1779">
        <v>3</v>
      </c>
      <c r="M1779">
        <v>0</v>
      </c>
      <c r="N1779">
        <v>100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400</v>
      </c>
      <c r="AH1779">
        <v>4</v>
      </c>
      <c r="AI1779">
        <v>0</v>
      </c>
      <c r="AJ1779">
        <v>0</v>
      </c>
      <c r="AK1779">
        <v>400</v>
      </c>
      <c r="AL1779">
        <v>0</v>
      </c>
      <c r="AM1779">
        <v>0</v>
      </c>
      <c r="AN1779">
        <v>0</v>
      </c>
      <c r="AO1779">
        <v>0</v>
      </c>
      <c r="AP1779">
        <v>280</v>
      </c>
      <c r="AT1779" t="str">
        <f t="shared" si="313"/>
        <v>9791165310370</v>
      </c>
      <c r="AV1779" t="str">
        <f t="shared" si="314"/>
        <v>판타지 웹소설 &gt; 퓨전 판타지</v>
      </c>
    </row>
    <row r="1780" spans="1:48" x14ac:dyDescent="0.4">
      <c r="A1780">
        <v>2313008150</v>
      </c>
      <c r="B1780">
        <v>2313008208</v>
      </c>
      <c r="C1780" t="str">
        <f>T("기사가문 망나니는 10클래스 59화")</f>
        <v>기사가문 망나니는 10클래스 59화</v>
      </c>
      <c r="D1780" t="str">
        <f>T("59")</f>
        <v>59</v>
      </c>
      <c r="E1780" t="str">
        <f t="shared" si="311"/>
        <v>예로나</v>
      </c>
      <c r="H1780" t="str">
        <f t="shared" si="303"/>
        <v>스토리위즈</v>
      </c>
      <c r="I1780" t="str">
        <f t="shared" si="312"/>
        <v>기사가문 망나니는 10클래스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3</v>
      </c>
      <c r="AI1780">
        <v>0</v>
      </c>
      <c r="AJ1780">
        <v>0</v>
      </c>
      <c r="AK1780">
        <v>300</v>
      </c>
      <c r="AL1780">
        <v>0</v>
      </c>
      <c r="AM1780">
        <v>0</v>
      </c>
      <c r="AN1780">
        <v>0</v>
      </c>
      <c r="AO1780">
        <v>0</v>
      </c>
      <c r="AP1780">
        <v>210</v>
      </c>
      <c r="AT1780" t="str">
        <f t="shared" si="313"/>
        <v>9791165310370</v>
      </c>
      <c r="AV1780" t="str">
        <f t="shared" si="314"/>
        <v>판타지 웹소설 &gt; 퓨전 판타지</v>
      </c>
    </row>
    <row r="1781" spans="1:48" x14ac:dyDescent="0.4">
      <c r="A1781">
        <v>2313008150</v>
      </c>
      <c r="B1781">
        <v>2313008209</v>
      </c>
      <c r="C1781" t="str">
        <f>T("기사가문 망나니는 10클래스 60화")</f>
        <v>기사가문 망나니는 10클래스 60화</v>
      </c>
      <c r="D1781" t="str">
        <f>T("60")</f>
        <v>60</v>
      </c>
      <c r="E1781" t="str">
        <f t="shared" si="311"/>
        <v>예로나</v>
      </c>
      <c r="H1781" t="str">
        <f t="shared" si="303"/>
        <v>스토리위즈</v>
      </c>
      <c r="I1781" t="str">
        <f t="shared" si="312"/>
        <v>기사가문 망나니는 10클래스</v>
      </c>
      <c r="J1781">
        <v>100</v>
      </c>
      <c r="K1781">
        <v>300</v>
      </c>
      <c r="L1781">
        <v>3</v>
      </c>
      <c r="M1781">
        <v>0</v>
      </c>
      <c r="N1781">
        <v>100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400</v>
      </c>
      <c r="AH1781">
        <v>4</v>
      </c>
      <c r="AI1781">
        <v>0</v>
      </c>
      <c r="AJ1781">
        <v>0</v>
      </c>
      <c r="AK1781">
        <v>400</v>
      </c>
      <c r="AL1781">
        <v>0</v>
      </c>
      <c r="AM1781">
        <v>0</v>
      </c>
      <c r="AN1781">
        <v>0</v>
      </c>
      <c r="AO1781">
        <v>0</v>
      </c>
      <c r="AP1781">
        <v>280</v>
      </c>
      <c r="AT1781" t="str">
        <f t="shared" si="313"/>
        <v>9791165310370</v>
      </c>
      <c r="AV1781" t="str">
        <f t="shared" si="314"/>
        <v>판타지 웹소설 &gt; 퓨전 판타지</v>
      </c>
    </row>
    <row r="1782" spans="1:48" x14ac:dyDescent="0.4">
      <c r="A1782">
        <v>2313008150</v>
      </c>
      <c r="B1782">
        <v>2313008210</v>
      </c>
      <c r="C1782" t="str">
        <f>T("기사가문 망나니는 10클래스 61화")</f>
        <v>기사가문 망나니는 10클래스 61화</v>
      </c>
      <c r="D1782" t="str">
        <f>T("61")</f>
        <v>61</v>
      </c>
      <c r="E1782" t="str">
        <f t="shared" si="311"/>
        <v>예로나</v>
      </c>
      <c r="H1782" t="str">
        <f t="shared" si="303"/>
        <v>스토리위즈</v>
      </c>
      <c r="I1782" t="str">
        <f t="shared" si="312"/>
        <v>기사가문 망나니는 10클래스</v>
      </c>
      <c r="J1782">
        <v>100</v>
      </c>
      <c r="K1782">
        <v>300</v>
      </c>
      <c r="L1782">
        <v>3</v>
      </c>
      <c r="M1782">
        <v>0</v>
      </c>
      <c r="N1782">
        <v>100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400</v>
      </c>
      <c r="AH1782">
        <v>4</v>
      </c>
      <c r="AI1782">
        <v>0</v>
      </c>
      <c r="AJ1782">
        <v>0</v>
      </c>
      <c r="AK1782">
        <v>400</v>
      </c>
      <c r="AL1782">
        <v>0</v>
      </c>
      <c r="AM1782">
        <v>0</v>
      </c>
      <c r="AN1782">
        <v>0</v>
      </c>
      <c r="AO1782">
        <v>0</v>
      </c>
      <c r="AP1782">
        <v>280</v>
      </c>
      <c r="AT1782" t="str">
        <f t="shared" si="313"/>
        <v>9791165310370</v>
      </c>
      <c r="AV1782" t="str">
        <f t="shared" si="314"/>
        <v>판타지 웹소설 &gt; 퓨전 판타지</v>
      </c>
    </row>
    <row r="1783" spans="1:48" x14ac:dyDescent="0.4">
      <c r="A1783">
        <v>2313008150</v>
      </c>
      <c r="B1783">
        <v>2313008211</v>
      </c>
      <c r="C1783" t="str">
        <f>T("기사가문 망나니는 10클래스 62화")</f>
        <v>기사가문 망나니는 10클래스 62화</v>
      </c>
      <c r="D1783" t="str">
        <f>T("62")</f>
        <v>62</v>
      </c>
      <c r="E1783" t="str">
        <f t="shared" si="311"/>
        <v>예로나</v>
      </c>
      <c r="H1783" t="str">
        <f t="shared" si="303"/>
        <v>스토리위즈</v>
      </c>
      <c r="I1783" t="str">
        <f t="shared" si="312"/>
        <v>기사가문 망나니는 10클래스</v>
      </c>
      <c r="J1783">
        <v>100</v>
      </c>
      <c r="K1783">
        <v>300</v>
      </c>
      <c r="L1783">
        <v>3</v>
      </c>
      <c r="M1783">
        <v>0</v>
      </c>
      <c r="N1783">
        <v>100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400</v>
      </c>
      <c r="AH1783">
        <v>4</v>
      </c>
      <c r="AI1783">
        <v>0</v>
      </c>
      <c r="AJ1783">
        <v>0</v>
      </c>
      <c r="AK1783">
        <v>400</v>
      </c>
      <c r="AL1783">
        <v>0</v>
      </c>
      <c r="AM1783">
        <v>0</v>
      </c>
      <c r="AN1783">
        <v>0</v>
      </c>
      <c r="AO1783">
        <v>0</v>
      </c>
      <c r="AP1783">
        <v>280</v>
      </c>
      <c r="AT1783" t="str">
        <f t="shared" si="313"/>
        <v>9791165310370</v>
      </c>
      <c r="AV1783" t="str">
        <f t="shared" si="314"/>
        <v>판타지 웹소설 &gt; 퓨전 판타지</v>
      </c>
    </row>
    <row r="1784" spans="1:48" x14ac:dyDescent="0.4">
      <c r="A1784">
        <v>2313008150</v>
      </c>
      <c r="B1784">
        <v>2313008378</v>
      </c>
      <c r="C1784" t="str">
        <f>T("기사가문 망나니는 10클래스 197화 (완결)")</f>
        <v>기사가문 망나니는 10클래스 197화 (완결)</v>
      </c>
      <c r="D1784" t="str">
        <f>T("197")</f>
        <v>197</v>
      </c>
      <c r="E1784" t="str">
        <f t="shared" si="311"/>
        <v>예로나</v>
      </c>
      <c r="H1784" t="str">
        <f t="shared" si="303"/>
        <v>스토리위즈</v>
      </c>
      <c r="I1784" t="str">
        <f t="shared" si="312"/>
        <v>기사가문 망나니는 10클래스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3</v>
      </c>
      <c r="AI1784">
        <v>0</v>
      </c>
      <c r="AJ1784">
        <v>0</v>
      </c>
      <c r="AK1784">
        <v>200</v>
      </c>
      <c r="AL1784">
        <v>0</v>
      </c>
      <c r="AM1784">
        <v>120</v>
      </c>
      <c r="AN1784">
        <v>-36</v>
      </c>
      <c r="AO1784">
        <v>0</v>
      </c>
      <c r="AP1784">
        <v>198.8</v>
      </c>
      <c r="AT1784" t="str">
        <f t="shared" si="313"/>
        <v>9791165310370</v>
      </c>
      <c r="AV1784" t="str">
        <f t="shared" si="314"/>
        <v>판타지 웹소설 &gt; 퓨전 판타지</v>
      </c>
    </row>
    <row r="1785" spans="1:48" x14ac:dyDescent="0.4">
      <c r="A1785">
        <v>2313010290</v>
      </c>
      <c r="B1785">
        <v>2313010296</v>
      </c>
      <c r="C1785" t="str">
        <f>T("아저씨, 내 기분 왜 이래요? 7화")</f>
        <v>아저씨, 내 기분 왜 이래요? 7화</v>
      </c>
      <c r="D1785" t="str">
        <f>T("7")</f>
        <v>7</v>
      </c>
      <c r="E1785" t="str">
        <f t="shared" ref="E1785:E1811" si="315">T("Livingston")</f>
        <v>Livingston</v>
      </c>
      <c r="H1785" t="str">
        <f t="shared" si="303"/>
        <v>스토리위즈</v>
      </c>
      <c r="I1785" t="str">
        <f t="shared" ref="I1785:I1811" si="316">T("아저씨, 내 기분 왜 이래요?")</f>
        <v>아저씨, 내 기분 왜 이래요?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3</v>
      </c>
      <c r="AI1785">
        <v>0</v>
      </c>
      <c r="AJ1785">
        <v>0</v>
      </c>
      <c r="AK1785">
        <v>300</v>
      </c>
      <c r="AL1785">
        <v>0</v>
      </c>
      <c r="AM1785">
        <v>0</v>
      </c>
      <c r="AN1785">
        <v>0</v>
      </c>
      <c r="AO1785">
        <v>0</v>
      </c>
      <c r="AP1785">
        <v>210</v>
      </c>
      <c r="AT1785" t="str">
        <f t="shared" ref="AT1785:AT1811" si="317">T("9791166069482")</f>
        <v>9791166069482</v>
      </c>
      <c r="AV1785" t="str">
        <f t="shared" ref="AV1785:AV1811" si="318">T("로맨스 웹소설 &gt; 현대물")</f>
        <v>로맨스 웹소설 &gt; 현대물</v>
      </c>
    </row>
    <row r="1786" spans="1:48" x14ac:dyDescent="0.4">
      <c r="A1786">
        <v>2313010290</v>
      </c>
      <c r="B1786">
        <v>2313010297</v>
      </c>
      <c r="C1786" t="str">
        <f>T("아저씨, 내 기분 왜 이래요? 8화")</f>
        <v>아저씨, 내 기분 왜 이래요? 8화</v>
      </c>
      <c r="D1786" t="str">
        <f>T("8")</f>
        <v>8</v>
      </c>
      <c r="E1786" t="str">
        <f t="shared" si="315"/>
        <v>Livingston</v>
      </c>
      <c r="H1786" t="str">
        <f t="shared" si="303"/>
        <v>스토리위즈</v>
      </c>
      <c r="I1786" t="str">
        <f t="shared" si="316"/>
        <v>아저씨, 내 기분 왜 이래요?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3</v>
      </c>
      <c r="AI1786">
        <v>0</v>
      </c>
      <c r="AJ1786">
        <v>0</v>
      </c>
      <c r="AK1786">
        <v>300</v>
      </c>
      <c r="AL1786">
        <v>0</v>
      </c>
      <c r="AM1786">
        <v>0</v>
      </c>
      <c r="AN1786">
        <v>0</v>
      </c>
      <c r="AO1786">
        <v>0</v>
      </c>
      <c r="AP1786">
        <v>210</v>
      </c>
      <c r="AT1786" t="str">
        <f t="shared" si="317"/>
        <v>9791166069482</v>
      </c>
      <c r="AV1786" t="str">
        <f t="shared" si="318"/>
        <v>로맨스 웹소설 &gt; 현대물</v>
      </c>
    </row>
    <row r="1787" spans="1:48" x14ac:dyDescent="0.4">
      <c r="A1787">
        <v>2313010290</v>
      </c>
      <c r="B1787">
        <v>2313010298</v>
      </c>
      <c r="C1787" t="str">
        <f>T("아저씨, 내 기분 왜 이래요? 9화")</f>
        <v>아저씨, 내 기분 왜 이래요? 9화</v>
      </c>
      <c r="D1787" t="str">
        <f>T("9")</f>
        <v>9</v>
      </c>
      <c r="E1787" t="str">
        <f t="shared" si="315"/>
        <v>Livingston</v>
      </c>
      <c r="H1787" t="str">
        <f t="shared" si="303"/>
        <v>스토리위즈</v>
      </c>
      <c r="I1787" t="str">
        <f t="shared" si="316"/>
        <v>아저씨, 내 기분 왜 이래요?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3</v>
      </c>
      <c r="AI1787">
        <v>0</v>
      </c>
      <c r="AJ1787">
        <v>0</v>
      </c>
      <c r="AK1787">
        <v>300</v>
      </c>
      <c r="AL1787">
        <v>0</v>
      </c>
      <c r="AM1787">
        <v>0</v>
      </c>
      <c r="AN1787">
        <v>0</v>
      </c>
      <c r="AO1787">
        <v>0</v>
      </c>
      <c r="AP1787">
        <v>210</v>
      </c>
      <c r="AT1787" t="str">
        <f t="shared" si="317"/>
        <v>9791166069482</v>
      </c>
      <c r="AV1787" t="str">
        <f t="shared" si="318"/>
        <v>로맨스 웹소설 &gt; 현대물</v>
      </c>
    </row>
    <row r="1788" spans="1:48" x14ac:dyDescent="0.4">
      <c r="A1788">
        <v>2313010290</v>
      </c>
      <c r="B1788">
        <v>2313010299</v>
      </c>
      <c r="C1788" t="str">
        <f>T("아저씨, 내 기분 왜 이래요? 10화")</f>
        <v>아저씨, 내 기분 왜 이래요? 10화</v>
      </c>
      <c r="D1788" t="str">
        <f>T("10")</f>
        <v>10</v>
      </c>
      <c r="E1788" t="str">
        <f t="shared" si="315"/>
        <v>Livingston</v>
      </c>
      <c r="H1788" t="str">
        <f t="shared" si="303"/>
        <v>스토리위즈</v>
      </c>
      <c r="I1788" t="str">
        <f t="shared" si="316"/>
        <v>아저씨, 내 기분 왜 이래요?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3</v>
      </c>
      <c r="AI1788">
        <v>0</v>
      </c>
      <c r="AJ1788">
        <v>0</v>
      </c>
      <c r="AK1788">
        <v>300</v>
      </c>
      <c r="AL1788">
        <v>0</v>
      </c>
      <c r="AM1788">
        <v>0</v>
      </c>
      <c r="AN1788">
        <v>0</v>
      </c>
      <c r="AO1788">
        <v>0</v>
      </c>
      <c r="AP1788">
        <v>210</v>
      </c>
      <c r="AT1788" t="str">
        <f t="shared" si="317"/>
        <v>9791166069482</v>
      </c>
      <c r="AV1788" t="str">
        <f t="shared" si="318"/>
        <v>로맨스 웹소설 &gt; 현대물</v>
      </c>
    </row>
    <row r="1789" spans="1:48" x14ac:dyDescent="0.4">
      <c r="A1789">
        <v>2313010290</v>
      </c>
      <c r="B1789">
        <v>2313010300</v>
      </c>
      <c r="C1789" t="str">
        <f>T("아저씨, 내 기분 왜 이래요? 11화")</f>
        <v>아저씨, 내 기분 왜 이래요? 11화</v>
      </c>
      <c r="D1789" t="str">
        <f>T("11")</f>
        <v>11</v>
      </c>
      <c r="E1789" t="str">
        <f t="shared" si="315"/>
        <v>Livingston</v>
      </c>
      <c r="H1789" t="str">
        <f t="shared" si="303"/>
        <v>스토리위즈</v>
      </c>
      <c r="I1789" t="str">
        <f t="shared" si="316"/>
        <v>아저씨, 내 기분 왜 이래요?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3</v>
      </c>
      <c r="AI1789">
        <v>0</v>
      </c>
      <c r="AJ1789">
        <v>0</v>
      </c>
      <c r="AK1789">
        <v>300</v>
      </c>
      <c r="AL1789">
        <v>0</v>
      </c>
      <c r="AM1789">
        <v>0</v>
      </c>
      <c r="AN1789">
        <v>0</v>
      </c>
      <c r="AO1789">
        <v>0</v>
      </c>
      <c r="AP1789">
        <v>210</v>
      </c>
      <c r="AT1789" t="str">
        <f t="shared" si="317"/>
        <v>9791166069482</v>
      </c>
      <c r="AV1789" t="str">
        <f t="shared" si="318"/>
        <v>로맨스 웹소설 &gt; 현대물</v>
      </c>
    </row>
    <row r="1790" spans="1:48" x14ac:dyDescent="0.4">
      <c r="A1790">
        <v>2313010290</v>
      </c>
      <c r="B1790">
        <v>2313010306</v>
      </c>
      <c r="C1790" t="str">
        <f>T("아저씨, 내 기분 왜 이래요? 17화")</f>
        <v>아저씨, 내 기분 왜 이래요? 17화</v>
      </c>
      <c r="D1790" t="str">
        <f>T("17")</f>
        <v>17</v>
      </c>
      <c r="E1790" t="str">
        <f t="shared" si="315"/>
        <v>Livingston</v>
      </c>
      <c r="H1790" t="str">
        <f t="shared" si="303"/>
        <v>스토리위즈</v>
      </c>
      <c r="I1790" t="str">
        <f t="shared" si="316"/>
        <v>아저씨, 내 기분 왜 이래요?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3</v>
      </c>
      <c r="AI1790">
        <v>0</v>
      </c>
      <c r="AJ1790">
        <v>0</v>
      </c>
      <c r="AK1790">
        <v>300</v>
      </c>
      <c r="AL1790">
        <v>0</v>
      </c>
      <c r="AM1790">
        <v>0</v>
      </c>
      <c r="AN1790">
        <v>0</v>
      </c>
      <c r="AO1790">
        <v>0</v>
      </c>
      <c r="AP1790">
        <v>210</v>
      </c>
      <c r="AT1790" t="str">
        <f t="shared" si="317"/>
        <v>9791166069482</v>
      </c>
      <c r="AV1790" t="str">
        <f t="shared" si="318"/>
        <v>로맨스 웹소설 &gt; 현대물</v>
      </c>
    </row>
    <row r="1791" spans="1:48" x14ac:dyDescent="0.4">
      <c r="A1791">
        <v>2313010290</v>
      </c>
      <c r="B1791">
        <v>2313010307</v>
      </c>
      <c r="C1791" t="str">
        <f>T("아저씨, 내 기분 왜 이래요? 18화")</f>
        <v>아저씨, 내 기분 왜 이래요? 18화</v>
      </c>
      <c r="D1791" t="str">
        <f>T("18")</f>
        <v>18</v>
      </c>
      <c r="E1791" t="str">
        <f t="shared" si="315"/>
        <v>Livingston</v>
      </c>
      <c r="H1791" t="str">
        <f t="shared" si="303"/>
        <v>스토리위즈</v>
      </c>
      <c r="I1791" t="str">
        <f t="shared" si="316"/>
        <v>아저씨, 내 기분 왜 이래요?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3</v>
      </c>
      <c r="AI1791">
        <v>0</v>
      </c>
      <c r="AJ1791">
        <v>0</v>
      </c>
      <c r="AK1791">
        <v>300</v>
      </c>
      <c r="AL1791">
        <v>0</v>
      </c>
      <c r="AM1791">
        <v>0</v>
      </c>
      <c r="AN1791">
        <v>0</v>
      </c>
      <c r="AO1791">
        <v>0</v>
      </c>
      <c r="AP1791">
        <v>210</v>
      </c>
      <c r="AT1791" t="str">
        <f t="shared" si="317"/>
        <v>9791166069482</v>
      </c>
      <c r="AV1791" t="str">
        <f t="shared" si="318"/>
        <v>로맨스 웹소설 &gt; 현대물</v>
      </c>
    </row>
    <row r="1792" spans="1:48" x14ac:dyDescent="0.4">
      <c r="A1792">
        <v>2313010290</v>
      </c>
      <c r="B1792">
        <v>2313010308</v>
      </c>
      <c r="C1792" t="str">
        <f>T("아저씨, 내 기분 왜 이래요? 19화")</f>
        <v>아저씨, 내 기분 왜 이래요? 19화</v>
      </c>
      <c r="D1792" t="str">
        <f>T("19")</f>
        <v>19</v>
      </c>
      <c r="E1792" t="str">
        <f t="shared" si="315"/>
        <v>Livingston</v>
      </c>
      <c r="H1792" t="str">
        <f t="shared" si="303"/>
        <v>스토리위즈</v>
      </c>
      <c r="I1792" t="str">
        <f t="shared" si="316"/>
        <v>아저씨, 내 기분 왜 이래요?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3</v>
      </c>
      <c r="AI1792">
        <v>0</v>
      </c>
      <c r="AJ1792">
        <v>0</v>
      </c>
      <c r="AK1792">
        <v>300</v>
      </c>
      <c r="AL1792">
        <v>0</v>
      </c>
      <c r="AM1792">
        <v>0</v>
      </c>
      <c r="AN1792">
        <v>0</v>
      </c>
      <c r="AO1792">
        <v>0</v>
      </c>
      <c r="AP1792">
        <v>210</v>
      </c>
      <c r="AT1792" t="str">
        <f t="shared" si="317"/>
        <v>9791166069482</v>
      </c>
      <c r="AV1792" t="str">
        <f t="shared" si="318"/>
        <v>로맨스 웹소설 &gt; 현대물</v>
      </c>
    </row>
    <row r="1793" spans="1:48" x14ac:dyDescent="0.4">
      <c r="A1793">
        <v>2313010290</v>
      </c>
      <c r="B1793">
        <v>2313010309</v>
      </c>
      <c r="C1793" t="str">
        <f>T("아저씨, 내 기분 왜 이래요? 20화")</f>
        <v>아저씨, 내 기분 왜 이래요? 20화</v>
      </c>
      <c r="D1793" t="str">
        <f>T("20")</f>
        <v>20</v>
      </c>
      <c r="E1793" t="str">
        <f t="shared" si="315"/>
        <v>Livingston</v>
      </c>
      <c r="H1793" t="str">
        <f t="shared" si="303"/>
        <v>스토리위즈</v>
      </c>
      <c r="I1793" t="str">
        <f t="shared" si="316"/>
        <v>아저씨, 내 기분 왜 이래요?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3</v>
      </c>
      <c r="AI1793">
        <v>0</v>
      </c>
      <c r="AJ1793">
        <v>0</v>
      </c>
      <c r="AK1793">
        <v>300</v>
      </c>
      <c r="AL1793">
        <v>0</v>
      </c>
      <c r="AM1793">
        <v>0</v>
      </c>
      <c r="AN1793">
        <v>0</v>
      </c>
      <c r="AO1793">
        <v>0</v>
      </c>
      <c r="AP1793">
        <v>210</v>
      </c>
      <c r="AT1793" t="str">
        <f t="shared" si="317"/>
        <v>9791166069482</v>
      </c>
      <c r="AV1793" t="str">
        <f t="shared" si="318"/>
        <v>로맨스 웹소설 &gt; 현대물</v>
      </c>
    </row>
    <row r="1794" spans="1:48" x14ac:dyDescent="0.4">
      <c r="A1794">
        <v>2313010290</v>
      </c>
      <c r="B1794">
        <v>2313010310</v>
      </c>
      <c r="C1794" t="str">
        <f>T("아저씨, 내 기분 왜 이래요? 21화")</f>
        <v>아저씨, 내 기분 왜 이래요? 21화</v>
      </c>
      <c r="D1794" t="str">
        <f>T("21")</f>
        <v>21</v>
      </c>
      <c r="E1794" t="str">
        <f t="shared" si="315"/>
        <v>Livingston</v>
      </c>
      <c r="H1794" t="str">
        <f t="shared" si="303"/>
        <v>스토리위즈</v>
      </c>
      <c r="I1794" t="str">
        <f t="shared" si="316"/>
        <v>아저씨, 내 기분 왜 이래요?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3</v>
      </c>
      <c r="AI1794">
        <v>0</v>
      </c>
      <c r="AJ1794">
        <v>0</v>
      </c>
      <c r="AK1794">
        <v>300</v>
      </c>
      <c r="AL1794">
        <v>0</v>
      </c>
      <c r="AM1794">
        <v>0</v>
      </c>
      <c r="AN1794">
        <v>0</v>
      </c>
      <c r="AO1794">
        <v>0</v>
      </c>
      <c r="AP1794">
        <v>210</v>
      </c>
      <c r="AT1794" t="str">
        <f t="shared" si="317"/>
        <v>9791166069482</v>
      </c>
      <c r="AV1794" t="str">
        <f t="shared" si="318"/>
        <v>로맨스 웹소설 &gt; 현대물</v>
      </c>
    </row>
    <row r="1795" spans="1:48" x14ac:dyDescent="0.4">
      <c r="A1795">
        <v>2313010290</v>
      </c>
      <c r="B1795">
        <v>2313010311</v>
      </c>
      <c r="C1795" t="str">
        <f>T("아저씨, 내 기분 왜 이래요? 22화")</f>
        <v>아저씨, 내 기분 왜 이래요? 22화</v>
      </c>
      <c r="D1795" t="str">
        <f>T("22")</f>
        <v>22</v>
      </c>
      <c r="E1795" t="str">
        <f t="shared" si="315"/>
        <v>Livingston</v>
      </c>
      <c r="H1795" t="str">
        <f t="shared" si="303"/>
        <v>스토리위즈</v>
      </c>
      <c r="I1795" t="str">
        <f t="shared" si="316"/>
        <v>아저씨, 내 기분 왜 이래요?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3</v>
      </c>
      <c r="AI1795">
        <v>0</v>
      </c>
      <c r="AJ1795">
        <v>0</v>
      </c>
      <c r="AK1795">
        <v>300</v>
      </c>
      <c r="AL1795">
        <v>0</v>
      </c>
      <c r="AM1795">
        <v>0</v>
      </c>
      <c r="AN1795">
        <v>0</v>
      </c>
      <c r="AO1795">
        <v>0</v>
      </c>
      <c r="AP1795">
        <v>210</v>
      </c>
      <c r="AT1795" t="str">
        <f t="shared" si="317"/>
        <v>9791166069482</v>
      </c>
      <c r="AV1795" t="str">
        <f t="shared" si="318"/>
        <v>로맨스 웹소설 &gt; 현대물</v>
      </c>
    </row>
    <row r="1796" spans="1:48" x14ac:dyDescent="0.4">
      <c r="A1796">
        <v>2313010290</v>
      </c>
      <c r="B1796">
        <v>2313010312</v>
      </c>
      <c r="C1796" t="str">
        <f>T("아저씨, 내 기분 왜 이래요? 23화")</f>
        <v>아저씨, 내 기분 왜 이래요? 23화</v>
      </c>
      <c r="D1796" t="str">
        <f>T("23")</f>
        <v>23</v>
      </c>
      <c r="E1796" t="str">
        <f t="shared" si="315"/>
        <v>Livingston</v>
      </c>
      <c r="H1796" t="str">
        <f t="shared" si="303"/>
        <v>스토리위즈</v>
      </c>
      <c r="I1796" t="str">
        <f t="shared" si="316"/>
        <v>아저씨, 내 기분 왜 이래요?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3</v>
      </c>
      <c r="AI1796">
        <v>0</v>
      </c>
      <c r="AJ1796">
        <v>0</v>
      </c>
      <c r="AK1796">
        <v>300</v>
      </c>
      <c r="AL1796">
        <v>0</v>
      </c>
      <c r="AM1796">
        <v>0</v>
      </c>
      <c r="AN1796">
        <v>0</v>
      </c>
      <c r="AO1796">
        <v>0</v>
      </c>
      <c r="AP1796">
        <v>210</v>
      </c>
      <c r="AT1796" t="str">
        <f t="shared" si="317"/>
        <v>9791166069482</v>
      </c>
      <c r="AV1796" t="str">
        <f t="shared" si="318"/>
        <v>로맨스 웹소설 &gt; 현대물</v>
      </c>
    </row>
    <row r="1797" spans="1:48" x14ac:dyDescent="0.4">
      <c r="A1797">
        <v>2313010290</v>
      </c>
      <c r="B1797">
        <v>2313010313</v>
      </c>
      <c r="C1797" t="str">
        <f>T("아저씨, 내 기분 왜 이래요? 24화")</f>
        <v>아저씨, 내 기분 왜 이래요? 24화</v>
      </c>
      <c r="D1797" t="str">
        <f>T("24")</f>
        <v>24</v>
      </c>
      <c r="E1797" t="str">
        <f t="shared" si="315"/>
        <v>Livingston</v>
      </c>
      <c r="H1797" t="str">
        <f t="shared" si="303"/>
        <v>스토리위즈</v>
      </c>
      <c r="I1797" t="str">
        <f t="shared" si="316"/>
        <v>아저씨, 내 기분 왜 이래요?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3</v>
      </c>
      <c r="AI1797">
        <v>0</v>
      </c>
      <c r="AJ1797">
        <v>0</v>
      </c>
      <c r="AK1797">
        <v>300</v>
      </c>
      <c r="AL1797">
        <v>0</v>
      </c>
      <c r="AM1797">
        <v>0</v>
      </c>
      <c r="AN1797">
        <v>0</v>
      </c>
      <c r="AO1797">
        <v>0</v>
      </c>
      <c r="AP1797">
        <v>210</v>
      </c>
      <c r="AT1797" t="str">
        <f t="shared" si="317"/>
        <v>9791166069482</v>
      </c>
      <c r="AV1797" t="str">
        <f t="shared" si="318"/>
        <v>로맨스 웹소설 &gt; 현대물</v>
      </c>
    </row>
    <row r="1798" spans="1:48" x14ac:dyDescent="0.4">
      <c r="A1798">
        <v>2313010290</v>
      </c>
      <c r="B1798">
        <v>2313010314</v>
      </c>
      <c r="C1798" t="str">
        <f>T("아저씨, 내 기분 왜 이래요? 25화")</f>
        <v>아저씨, 내 기분 왜 이래요? 25화</v>
      </c>
      <c r="D1798" t="str">
        <f>T("25")</f>
        <v>25</v>
      </c>
      <c r="E1798" t="str">
        <f t="shared" si="315"/>
        <v>Livingston</v>
      </c>
      <c r="H1798" t="str">
        <f t="shared" si="303"/>
        <v>스토리위즈</v>
      </c>
      <c r="I1798" t="str">
        <f t="shared" si="316"/>
        <v>아저씨, 내 기분 왜 이래요?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3</v>
      </c>
      <c r="AI1798">
        <v>0</v>
      </c>
      <c r="AJ1798">
        <v>0</v>
      </c>
      <c r="AK1798">
        <v>300</v>
      </c>
      <c r="AL1798">
        <v>0</v>
      </c>
      <c r="AM1798">
        <v>0</v>
      </c>
      <c r="AN1798">
        <v>0</v>
      </c>
      <c r="AO1798">
        <v>0</v>
      </c>
      <c r="AP1798">
        <v>210</v>
      </c>
      <c r="AT1798" t="str">
        <f t="shared" si="317"/>
        <v>9791166069482</v>
      </c>
      <c r="AV1798" t="str">
        <f t="shared" si="318"/>
        <v>로맨스 웹소설 &gt; 현대물</v>
      </c>
    </row>
    <row r="1799" spans="1:48" x14ac:dyDescent="0.4">
      <c r="A1799">
        <v>2313010290</v>
      </c>
      <c r="B1799">
        <v>2313010315</v>
      </c>
      <c r="C1799" t="str">
        <f>T("아저씨, 내 기분 왜 이래요? 26화")</f>
        <v>아저씨, 내 기분 왜 이래요? 26화</v>
      </c>
      <c r="D1799" t="str">
        <f>T("26")</f>
        <v>26</v>
      </c>
      <c r="E1799" t="str">
        <f t="shared" si="315"/>
        <v>Livingston</v>
      </c>
      <c r="H1799" t="str">
        <f t="shared" si="303"/>
        <v>스토리위즈</v>
      </c>
      <c r="I1799" t="str">
        <f t="shared" si="316"/>
        <v>아저씨, 내 기분 왜 이래요?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3</v>
      </c>
      <c r="AI1799">
        <v>0</v>
      </c>
      <c r="AJ1799">
        <v>0</v>
      </c>
      <c r="AK1799">
        <v>300</v>
      </c>
      <c r="AL1799">
        <v>0</v>
      </c>
      <c r="AM1799">
        <v>0</v>
      </c>
      <c r="AN1799">
        <v>0</v>
      </c>
      <c r="AO1799">
        <v>0</v>
      </c>
      <c r="AP1799">
        <v>210</v>
      </c>
      <c r="AT1799" t="str">
        <f t="shared" si="317"/>
        <v>9791166069482</v>
      </c>
      <c r="AV1799" t="str">
        <f t="shared" si="318"/>
        <v>로맨스 웹소설 &gt; 현대물</v>
      </c>
    </row>
    <row r="1800" spans="1:48" x14ac:dyDescent="0.4">
      <c r="A1800">
        <v>2313010290</v>
      </c>
      <c r="B1800">
        <v>2313010316</v>
      </c>
      <c r="C1800" t="str">
        <f>T("아저씨, 내 기분 왜 이래요? 27화")</f>
        <v>아저씨, 내 기분 왜 이래요? 27화</v>
      </c>
      <c r="D1800" t="str">
        <f>T("27")</f>
        <v>27</v>
      </c>
      <c r="E1800" t="str">
        <f t="shared" si="315"/>
        <v>Livingston</v>
      </c>
      <c r="H1800" t="str">
        <f t="shared" si="303"/>
        <v>스토리위즈</v>
      </c>
      <c r="I1800" t="str">
        <f t="shared" si="316"/>
        <v>아저씨, 내 기분 왜 이래요?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3</v>
      </c>
      <c r="AI1800">
        <v>0</v>
      </c>
      <c r="AJ1800">
        <v>0</v>
      </c>
      <c r="AK1800">
        <v>300</v>
      </c>
      <c r="AL1800">
        <v>0</v>
      </c>
      <c r="AM1800">
        <v>0</v>
      </c>
      <c r="AN1800">
        <v>0</v>
      </c>
      <c r="AO1800">
        <v>0</v>
      </c>
      <c r="AP1800">
        <v>210</v>
      </c>
      <c r="AT1800" t="str">
        <f t="shared" si="317"/>
        <v>9791166069482</v>
      </c>
      <c r="AV1800" t="str">
        <f t="shared" si="318"/>
        <v>로맨스 웹소설 &gt; 현대물</v>
      </c>
    </row>
    <row r="1801" spans="1:48" x14ac:dyDescent="0.4">
      <c r="A1801">
        <v>2313010290</v>
      </c>
      <c r="B1801">
        <v>2313010327</v>
      </c>
      <c r="C1801" t="str">
        <f>T("아저씨, 내 기분 왜 이래요? 38화")</f>
        <v>아저씨, 내 기분 왜 이래요? 38화</v>
      </c>
      <c r="D1801" t="str">
        <f>T("38")</f>
        <v>38</v>
      </c>
      <c r="E1801" t="str">
        <f t="shared" si="315"/>
        <v>Livingston</v>
      </c>
      <c r="H1801" t="str">
        <f t="shared" si="303"/>
        <v>스토리위즈</v>
      </c>
      <c r="I1801" t="str">
        <f t="shared" si="316"/>
        <v>아저씨, 내 기분 왜 이래요?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3</v>
      </c>
      <c r="AI1801">
        <v>0</v>
      </c>
      <c r="AJ1801">
        <v>0</v>
      </c>
      <c r="AK1801">
        <v>300</v>
      </c>
      <c r="AL1801">
        <v>0</v>
      </c>
      <c r="AM1801">
        <v>0</v>
      </c>
      <c r="AN1801">
        <v>0</v>
      </c>
      <c r="AO1801">
        <v>0</v>
      </c>
      <c r="AP1801">
        <v>210</v>
      </c>
      <c r="AT1801" t="str">
        <f t="shared" si="317"/>
        <v>9791166069482</v>
      </c>
      <c r="AV1801" t="str">
        <f t="shared" si="318"/>
        <v>로맨스 웹소설 &gt; 현대물</v>
      </c>
    </row>
    <row r="1802" spans="1:48" x14ac:dyDescent="0.4">
      <c r="A1802">
        <v>2313010290</v>
      </c>
      <c r="B1802">
        <v>2313010328</v>
      </c>
      <c r="C1802" t="str">
        <f>T("아저씨, 내 기분 왜 이래요? 39화")</f>
        <v>아저씨, 내 기분 왜 이래요? 39화</v>
      </c>
      <c r="D1802" t="str">
        <f>T("39")</f>
        <v>39</v>
      </c>
      <c r="E1802" t="str">
        <f t="shared" si="315"/>
        <v>Livingston</v>
      </c>
      <c r="H1802" t="str">
        <f t="shared" si="303"/>
        <v>스토리위즈</v>
      </c>
      <c r="I1802" t="str">
        <f t="shared" si="316"/>
        <v>아저씨, 내 기분 왜 이래요?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3</v>
      </c>
      <c r="AI1802">
        <v>0</v>
      </c>
      <c r="AJ1802">
        <v>0</v>
      </c>
      <c r="AK1802">
        <v>300</v>
      </c>
      <c r="AL1802">
        <v>0</v>
      </c>
      <c r="AM1802">
        <v>0</v>
      </c>
      <c r="AN1802">
        <v>0</v>
      </c>
      <c r="AO1802">
        <v>0</v>
      </c>
      <c r="AP1802">
        <v>210</v>
      </c>
      <c r="AT1802" t="str">
        <f t="shared" si="317"/>
        <v>9791166069482</v>
      </c>
      <c r="AV1802" t="str">
        <f t="shared" si="318"/>
        <v>로맨스 웹소설 &gt; 현대물</v>
      </c>
    </row>
    <row r="1803" spans="1:48" x14ac:dyDescent="0.4">
      <c r="A1803">
        <v>2313010290</v>
      </c>
      <c r="B1803">
        <v>2313010329</v>
      </c>
      <c r="C1803" t="str">
        <f>T("아저씨, 내 기분 왜 이래요? 40화")</f>
        <v>아저씨, 내 기분 왜 이래요? 40화</v>
      </c>
      <c r="D1803" t="str">
        <f>T("40")</f>
        <v>40</v>
      </c>
      <c r="E1803" t="str">
        <f t="shared" si="315"/>
        <v>Livingston</v>
      </c>
      <c r="H1803" t="str">
        <f t="shared" si="303"/>
        <v>스토리위즈</v>
      </c>
      <c r="I1803" t="str">
        <f t="shared" si="316"/>
        <v>아저씨, 내 기분 왜 이래요?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3</v>
      </c>
      <c r="AI1803">
        <v>0</v>
      </c>
      <c r="AJ1803">
        <v>0</v>
      </c>
      <c r="AK1803">
        <v>300</v>
      </c>
      <c r="AL1803">
        <v>0</v>
      </c>
      <c r="AM1803">
        <v>0</v>
      </c>
      <c r="AN1803">
        <v>0</v>
      </c>
      <c r="AO1803">
        <v>0</v>
      </c>
      <c r="AP1803">
        <v>210</v>
      </c>
      <c r="AT1803" t="str">
        <f t="shared" si="317"/>
        <v>9791166069482</v>
      </c>
      <c r="AV1803" t="str">
        <f t="shared" si="318"/>
        <v>로맨스 웹소설 &gt; 현대물</v>
      </c>
    </row>
    <row r="1804" spans="1:48" x14ac:dyDescent="0.4">
      <c r="A1804">
        <v>2313010290</v>
      </c>
      <c r="B1804">
        <v>2313010330</v>
      </c>
      <c r="C1804" t="str">
        <f>T("아저씨, 내 기분 왜 이래요? 41화")</f>
        <v>아저씨, 내 기분 왜 이래요? 41화</v>
      </c>
      <c r="D1804" t="str">
        <f>T("41")</f>
        <v>41</v>
      </c>
      <c r="E1804" t="str">
        <f t="shared" si="315"/>
        <v>Livingston</v>
      </c>
      <c r="H1804" t="str">
        <f t="shared" si="303"/>
        <v>스토리위즈</v>
      </c>
      <c r="I1804" t="str">
        <f t="shared" si="316"/>
        <v>아저씨, 내 기분 왜 이래요?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3</v>
      </c>
      <c r="AI1804">
        <v>0</v>
      </c>
      <c r="AJ1804">
        <v>0</v>
      </c>
      <c r="AK1804">
        <v>300</v>
      </c>
      <c r="AL1804">
        <v>0</v>
      </c>
      <c r="AM1804">
        <v>0</v>
      </c>
      <c r="AN1804">
        <v>0</v>
      </c>
      <c r="AO1804">
        <v>0</v>
      </c>
      <c r="AP1804">
        <v>210</v>
      </c>
      <c r="AT1804" t="str">
        <f t="shared" si="317"/>
        <v>9791166069482</v>
      </c>
      <c r="AV1804" t="str">
        <f t="shared" si="318"/>
        <v>로맨스 웹소설 &gt; 현대물</v>
      </c>
    </row>
    <row r="1805" spans="1:48" x14ac:dyDescent="0.4">
      <c r="A1805">
        <v>2313010290</v>
      </c>
      <c r="B1805">
        <v>2313010331</v>
      </c>
      <c r="C1805" t="str">
        <f>T("아저씨, 내 기분 왜 이래요? 42화")</f>
        <v>아저씨, 내 기분 왜 이래요? 42화</v>
      </c>
      <c r="D1805" t="str">
        <f>T("42")</f>
        <v>42</v>
      </c>
      <c r="E1805" t="str">
        <f t="shared" si="315"/>
        <v>Livingston</v>
      </c>
      <c r="H1805" t="str">
        <f t="shared" si="303"/>
        <v>스토리위즈</v>
      </c>
      <c r="I1805" t="str">
        <f t="shared" si="316"/>
        <v>아저씨, 내 기분 왜 이래요?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3</v>
      </c>
      <c r="AI1805">
        <v>0</v>
      </c>
      <c r="AJ1805">
        <v>0</v>
      </c>
      <c r="AK1805">
        <v>300</v>
      </c>
      <c r="AL1805">
        <v>0</v>
      </c>
      <c r="AM1805">
        <v>0</v>
      </c>
      <c r="AN1805">
        <v>0</v>
      </c>
      <c r="AO1805">
        <v>0</v>
      </c>
      <c r="AP1805">
        <v>210</v>
      </c>
      <c r="AT1805" t="str">
        <f t="shared" si="317"/>
        <v>9791166069482</v>
      </c>
      <c r="AV1805" t="str">
        <f t="shared" si="318"/>
        <v>로맨스 웹소설 &gt; 현대물</v>
      </c>
    </row>
    <row r="1806" spans="1:48" x14ac:dyDescent="0.4">
      <c r="A1806">
        <v>2313010290</v>
      </c>
      <c r="B1806">
        <v>2313010332</v>
      </c>
      <c r="C1806" t="str">
        <f>T("아저씨, 내 기분 왜 이래요? 43화")</f>
        <v>아저씨, 내 기분 왜 이래요? 43화</v>
      </c>
      <c r="D1806" t="str">
        <f>T("43")</f>
        <v>43</v>
      </c>
      <c r="E1806" t="str">
        <f t="shared" si="315"/>
        <v>Livingston</v>
      </c>
      <c r="H1806" t="str">
        <f t="shared" si="303"/>
        <v>스토리위즈</v>
      </c>
      <c r="I1806" t="str">
        <f t="shared" si="316"/>
        <v>아저씨, 내 기분 왜 이래요?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3</v>
      </c>
      <c r="AI1806">
        <v>0</v>
      </c>
      <c r="AJ1806">
        <v>0</v>
      </c>
      <c r="AK1806">
        <v>300</v>
      </c>
      <c r="AL1806">
        <v>0</v>
      </c>
      <c r="AM1806">
        <v>0</v>
      </c>
      <c r="AN1806">
        <v>0</v>
      </c>
      <c r="AO1806">
        <v>0</v>
      </c>
      <c r="AP1806">
        <v>210</v>
      </c>
      <c r="AT1806" t="str">
        <f t="shared" si="317"/>
        <v>9791166069482</v>
      </c>
      <c r="AV1806" t="str">
        <f t="shared" si="318"/>
        <v>로맨스 웹소설 &gt; 현대물</v>
      </c>
    </row>
    <row r="1807" spans="1:48" x14ac:dyDescent="0.4">
      <c r="A1807">
        <v>2313010290</v>
      </c>
      <c r="B1807">
        <v>2313010333</v>
      </c>
      <c r="C1807" t="str">
        <f>T("아저씨, 내 기분 왜 이래요? 44화")</f>
        <v>아저씨, 내 기분 왜 이래요? 44화</v>
      </c>
      <c r="D1807" t="str">
        <f>T("44")</f>
        <v>44</v>
      </c>
      <c r="E1807" t="str">
        <f t="shared" si="315"/>
        <v>Livingston</v>
      </c>
      <c r="H1807" t="str">
        <f t="shared" si="303"/>
        <v>스토리위즈</v>
      </c>
      <c r="I1807" t="str">
        <f t="shared" si="316"/>
        <v>아저씨, 내 기분 왜 이래요?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3</v>
      </c>
      <c r="AI1807">
        <v>0</v>
      </c>
      <c r="AJ1807">
        <v>0</v>
      </c>
      <c r="AK1807">
        <v>300</v>
      </c>
      <c r="AL1807">
        <v>0</v>
      </c>
      <c r="AM1807">
        <v>0</v>
      </c>
      <c r="AN1807">
        <v>0</v>
      </c>
      <c r="AO1807">
        <v>0</v>
      </c>
      <c r="AP1807">
        <v>210</v>
      </c>
      <c r="AT1807" t="str">
        <f t="shared" si="317"/>
        <v>9791166069482</v>
      </c>
      <c r="AV1807" t="str">
        <f t="shared" si="318"/>
        <v>로맨스 웹소설 &gt; 현대물</v>
      </c>
    </row>
    <row r="1808" spans="1:48" x14ac:dyDescent="0.4">
      <c r="A1808">
        <v>2313010290</v>
      </c>
      <c r="B1808">
        <v>2313010334</v>
      </c>
      <c r="C1808" t="str">
        <f>T("아저씨, 내 기분 왜 이래요? 45화")</f>
        <v>아저씨, 내 기분 왜 이래요? 45화</v>
      </c>
      <c r="D1808" t="str">
        <f>T("45")</f>
        <v>45</v>
      </c>
      <c r="E1808" t="str">
        <f t="shared" si="315"/>
        <v>Livingston</v>
      </c>
      <c r="H1808" t="str">
        <f t="shared" si="303"/>
        <v>스토리위즈</v>
      </c>
      <c r="I1808" t="str">
        <f t="shared" si="316"/>
        <v>아저씨, 내 기분 왜 이래요?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3</v>
      </c>
      <c r="AI1808">
        <v>0</v>
      </c>
      <c r="AJ1808">
        <v>0</v>
      </c>
      <c r="AK1808">
        <v>300</v>
      </c>
      <c r="AL1808">
        <v>0</v>
      </c>
      <c r="AM1808">
        <v>0</v>
      </c>
      <c r="AN1808">
        <v>0</v>
      </c>
      <c r="AO1808">
        <v>0</v>
      </c>
      <c r="AP1808">
        <v>210</v>
      </c>
      <c r="AT1808" t="str">
        <f t="shared" si="317"/>
        <v>9791166069482</v>
      </c>
      <c r="AV1808" t="str">
        <f t="shared" si="318"/>
        <v>로맨스 웹소설 &gt; 현대물</v>
      </c>
    </row>
    <row r="1809" spans="1:48" x14ac:dyDescent="0.4">
      <c r="A1809">
        <v>2313010290</v>
      </c>
      <c r="B1809">
        <v>2313010335</v>
      </c>
      <c r="C1809" t="str">
        <f>T("아저씨, 내 기분 왜 이래요? 46화")</f>
        <v>아저씨, 내 기분 왜 이래요? 46화</v>
      </c>
      <c r="D1809" t="str">
        <f>T("46")</f>
        <v>46</v>
      </c>
      <c r="E1809" t="str">
        <f t="shared" si="315"/>
        <v>Livingston</v>
      </c>
      <c r="H1809" t="str">
        <f t="shared" ref="H1809:H1872" si="319">T("스토리위즈")</f>
        <v>스토리위즈</v>
      </c>
      <c r="I1809" t="str">
        <f t="shared" si="316"/>
        <v>아저씨, 내 기분 왜 이래요?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3</v>
      </c>
      <c r="AI1809">
        <v>0</v>
      </c>
      <c r="AJ1809">
        <v>0</v>
      </c>
      <c r="AK1809">
        <v>300</v>
      </c>
      <c r="AL1809">
        <v>0</v>
      </c>
      <c r="AM1809">
        <v>0</v>
      </c>
      <c r="AN1809">
        <v>0</v>
      </c>
      <c r="AO1809">
        <v>0</v>
      </c>
      <c r="AP1809">
        <v>210</v>
      </c>
      <c r="AT1809" t="str">
        <f t="shared" si="317"/>
        <v>9791166069482</v>
      </c>
      <c r="AV1809" t="str">
        <f t="shared" si="318"/>
        <v>로맨스 웹소설 &gt; 현대물</v>
      </c>
    </row>
    <row r="1810" spans="1:48" x14ac:dyDescent="0.4">
      <c r="A1810">
        <v>2313010290</v>
      </c>
      <c r="B1810">
        <v>2313010336</v>
      </c>
      <c r="C1810" t="str">
        <f>T("아저씨, 내 기분 왜 이래요? 47화")</f>
        <v>아저씨, 내 기분 왜 이래요? 47화</v>
      </c>
      <c r="D1810" t="str">
        <f>T("47")</f>
        <v>47</v>
      </c>
      <c r="E1810" t="str">
        <f t="shared" si="315"/>
        <v>Livingston</v>
      </c>
      <c r="H1810" t="str">
        <f t="shared" si="319"/>
        <v>스토리위즈</v>
      </c>
      <c r="I1810" t="str">
        <f t="shared" si="316"/>
        <v>아저씨, 내 기분 왜 이래요?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3</v>
      </c>
      <c r="AI1810">
        <v>0</v>
      </c>
      <c r="AJ1810">
        <v>0</v>
      </c>
      <c r="AK1810">
        <v>300</v>
      </c>
      <c r="AL1810">
        <v>0</v>
      </c>
      <c r="AM1810">
        <v>0</v>
      </c>
      <c r="AN1810">
        <v>0</v>
      </c>
      <c r="AO1810">
        <v>0</v>
      </c>
      <c r="AP1810">
        <v>210</v>
      </c>
      <c r="AT1810" t="str">
        <f t="shared" si="317"/>
        <v>9791166069482</v>
      </c>
      <c r="AV1810" t="str">
        <f t="shared" si="318"/>
        <v>로맨스 웹소설 &gt; 현대물</v>
      </c>
    </row>
    <row r="1811" spans="1:48" x14ac:dyDescent="0.4">
      <c r="A1811">
        <v>2313010290</v>
      </c>
      <c r="B1811">
        <v>2313010337</v>
      </c>
      <c r="C1811" t="str">
        <f>T("아저씨, 내 기분 왜 이래요? 48화")</f>
        <v>아저씨, 내 기분 왜 이래요? 48화</v>
      </c>
      <c r="D1811" t="str">
        <f>T("48")</f>
        <v>48</v>
      </c>
      <c r="E1811" t="str">
        <f t="shared" si="315"/>
        <v>Livingston</v>
      </c>
      <c r="H1811" t="str">
        <f t="shared" si="319"/>
        <v>스토리위즈</v>
      </c>
      <c r="I1811" t="str">
        <f t="shared" si="316"/>
        <v>아저씨, 내 기분 왜 이래요?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3</v>
      </c>
      <c r="AI1811">
        <v>0</v>
      </c>
      <c r="AJ1811">
        <v>0</v>
      </c>
      <c r="AK1811">
        <v>300</v>
      </c>
      <c r="AL1811">
        <v>0</v>
      </c>
      <c r="AM1811">
        <v>0</v>
      </c>
      <c r="AN1811">
        <v>0</v>
      </c>
      <c r="AO1811">
        <v>0</v>
      </c>
      <c r="AP1811">
        <v>210</v>
      </c>
      <c r="AT1811" t="str">
        <f t="shared" si="317"/>
        <v>9791166069482</v>
      </c>
      <c r="AV1811" t="str">
        <f t="shared" si="318"/>
        <v>로맨스 웹소설 &gt; 현대물</v>
      </c>
    </row>
    <row r="1812" spans="1:48" x14ac:dyDescent="0.4">
      <c r="A1812">
        <v>2313011400</v>
      </c>
      <c r="B1812">
        <v>2313011446</v>
      </c>
      <c r="C1812" t="str">
        <f>T("최종 보스 3권 2화")</f>
        <v>최종 보스 3권 2화</v>
      </c>
      <c r="D1812" t="str">
        <f>T("47")</f>
        <v>47</v>
      </c>
      <c r="E1812" t="str">
        <f t="shared" ref="E1812:E1856" si="320">T("무장")</f>
        <v>무장</v>
      </c>
      <c r="H1812" t="str">
        <f t="shared" si="319"/>
        <v>스토리위즈</v>
      </c>
      <c r="I1812" t="str">
        <f t="shared" ref="I1812:I1853" si="321">T("최종 보스 : 빛을 향해 달리는 그림자")</f>
        <v>최종 보스 : 빛을 향해 달리는 그림자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3</v>
      </c>
      <c r="AI1812">
        <v>0</v>
      </c>
      <c r="AJ1812">
        <v>0</v>
      </c>
      <c r="AK1812">
        <v>300</v>
      </c>
      <c r="AL1812">
        <v>0</v>
      </c>
      <c r="AM1812">
        <v>0</v>
      </c>
      <c r="AN1812">
        <v>0</v>
      </c>
      <c r="AO1812">
        <v>0</v>
      </c>
      <c r="AP1812">
        <v>210</v>
      </c>
      <c r="AT1812" t="str">
        <f t="shared" ref="AT1812:AT1853" si="322">T("9791166067563")</f>
        <v>9791166067563</v>
      </c>
      <c r="AV1812" t="str">
        <f t="shared" ref="AV1812:AV1856" si="323">T("판타지 웹소설 &gt; 현대 판타지")</f>
        <v>판타지 웹소설 &gt; 현대 판타지</v>
      </c>
    </row>
    <row r="1813" spans="1:48" x14ac:dyDescent="0.4">
      <c r="A1813">
        <v>2313011400</v>
      </c>
      <c r="B1813">
        <v>2313011447</v>
      </c>
      <c r="C1813" t="str">
        <f>T("최종 보스 3권 3화")</f>
        <v>최종 보스 3권 3화</v>
      </c>
      <c r="D1813" t="str">
        <f>T("48")</f>
        <v>48</v>
      </c>
      <c r="E1813" t="str">
        <f t="shared" si="320"/>
        <v>무장</v>
      </c>
      <c r="H1813" t="str">
        <f t="shared" si="319"/>
        <v>스토리위즈</v>
      </c>
      <c r="I1813" t="str">
        <f t="shared" si="321"/>
        <v>최종 보스 : 빛을 향해 달리는 그림자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3</v>
      </c>
      <c r="AI1813">
        <v>0</v>
      </c>
      <c r="AJ1813">
        <v>0</v>
      </c>
      <c r="AK1813">
        <v>300</v>
      </c>
      <c r="AL1813">
        <v>0</v>
      </c>
      <c r="AM1813">
        <v>0</v>
      </c>
      <c r="AN1813">
        <v>0</v>
      </c>
      <c r="AO1813">
        <v>0</v>
      </c>
      <c r="AP1813">
        <v>210</v>
      </c>
      <c r="AT1813" t="str">
        <f t="shared" si="322"/>
        <v>9791166067563</v>
      </c>
      <c r="AV1813" t="str">
        <f t="shared" si="323"/>
        <v>판타지 웹소설 &gt; 현대 판타지</v>
      </c>
    </row>
    <row r="1814" spans="1:48" x14ac:dyDescent="0.4">
      <c r="A1814">
        <v>2313011400</v>
      </c>
      <c r="B1814">
        <v>2313011448</v>
      </c>
      <c r="C1814" t="str">
        <f>T("최종 보스 3권 4화")</f>
        <v>최종 보스 3권 4화</v>
      </c>
      <c r="D1814" t="str">
        <f>T("49")</f>
        <v>49</v>
      </c>
      <c r="E1814" t="str">
        <f t="shared" si="320"/>
        <v>무장</v>
      </c>
      <c r="H1814" t="str">
        <f t="shared" si="319"/>
        <v>스토리위즈</v>
      </c>
      <c r="I1814" t="str">
        <f t="shared" si="321"/>
        <v>최종 보스 : 빛을 향해 달리는 그림자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3</v>
      </c>
      <c r="AI1814">
        <v>0</v>
      </c>
      <c r="AJ1814">
        <v>0</v>
      </c>
      <c r="AK1814">
        <v>300</v>
      </c>
      <c r="AL1814">
        <v>0</v>
      </c>
      <c r="AM1814">
        <v>0</v>
      </c>
      <c r="AN1814">
        <v>0</v>
      </c>
      <c r="AO1814">
        <v>0</v>
      </c>
      <c r="AP1814">
        <v>210</v>
      </c>
      <c r="AT1814" t="str">
        <f t="shared" si="322"/>
        <v>9791166067563</v>
      </c>
      <c r="AV1814" t="str">
        <f t="shared" si="323"/>
        <v>판타지 웹소설 &gt; 현대 판타지</v>
      </c>
    </row>
    <row r="1815" spans="1:48" x14ac:dyDescent="0.4">
      <c r="A1815">
        <v>2313011400</v>
      </c>
      <c r="B1815">
        <v>2313011449</v>
      </c>
      <c r="C1815" t="str">
        <f>T("최종 보스 3권 5화")</f>
        <v>최종 보스 3권 5화</v>
      </c>
      <c r="D1815" t="str">
        <f>T("50")</f>
        <v>50</v>
      </c>
      <c r="E1815" t="str">
        <f t="shared" si="320"/>
        <v>무장</v>
      </c>
      <c r="H1815" t="str">
        <f t="shared" si="319"/>
        <v>스토리위즈</v>
      </c>
      <c r="I1815" t="str">
        <f t="shared" si="321"/>
        <v>최종 보스 : 빛을 향해 달리는 그림자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3</v>
      </c>
      <c r="AI1815">
        <v>0</v>
      </c>
      <c r="AJ1815">
        <v>0</v>
      </c>
      <c r="AK1815">
        <v>300</v>
      </c>
      <c r="AL1815">
        <v>0</v>
      </c>
      <c r="AM1815">
        <v>0</v>
      </c>
      <c r="AN1815">
        <v>0</v>
      </c>
      <c r="AO1815">
        <v>0</v>
      </c>
      <c r="AP1815">
        <v>210</v>
      </c>
      <c r="AT1815" t="str">
        <f t="shared" si="322"/>
        <v>9791166067563</v>
      </c>
      <c r="AV1815" t="str">
        <f t="shared" si="323"/>
        <v>판타지 웹소설 &gt; 현대 판타지</v>
      </c>
    </row>
    <row r="1816" spans="1:48" x14ac:dyDescent="0.4">
      <c r="A1816">
        <v>2313011400</v>
      </c>
      <c r="B1816">
        <v>2313011450</v>
      </c>
      <c r="C1816" t="str">
        <f>T("최종 보스 3권 6화")</f>
        <v>최종 보스 3권 6화</v>
      </c>
      <c r="D1816" t="str">
        <f>T("51")</f>
        <v>51</v>
      </c>
      <c r="E1816" t="str">
        <f t="shared" si="320"/>
        <v>무장</v>
      </c>
      <c r="H1816" t="str">
        <f t="shared" si="319"/>
        <v>스토리위즈</v>
      </c>
      <c r="I1816" t="str">
        <f t="shared" si="321"/>
        <v>최종 보스 : 빛을 향해 달리는 그림자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3</v>
      </c>
      <c r="AI1816">
        <v>0</v>
      </c>
      <c r="AJ1816">
        <v>0</v>
      </c>
      <c r="AK1816">
        <v>300</v>
      </c>
      <c r="AL1816">
        <v>0</v>
      </c>
      <c r="AM1816">
        <v>0</v>
      </c>
      <c r="AN1816">
        <v>0</v>
      </c>
      <c r="AO1816">
        <v>0</v>
      </c>
      <c r="AP1816">
        <v>210</v>
      </c>
      <c r="AT1816" t="str">
        <f t="shared" si="322"/>
        <v>9791166067563</v>
      </c>
      <c r="AV1816" t="str">
        <f t="shared" si="323"/>
        <v>판타지 웹소설 &gt; 현대 판타지</v>
      </c>
    </row>
    <row r="1817" spans="1:48" x14ac:dyDescent="0.4">
      <c r="A1817">
        <v>2313011400</v>
      </c>
      <c r="B1817">
        <v>2313011466</v>
      </c>
      <c r="C1817" t="str">
        <f>T("최종 보스 4권 1화")</f>
        <v>최종 보스 4권 1화</v>
      </c>
      <c r="D1817" t="str">
        <f>T("67")</f>
        <v>67</v>
      </c>
      <c r="E1817" t="str">
        <f t="shared" si="320"/>
        <v>무장</v>
      </c>
      <c r="H1817" t="str">
        <f t="shared" si="319"/>
        <v>스토리위즈</v>
      </c>
      <c r="I1817" t="str">
        <f t="shared" si="321"/>
        <v>최종 보스 : 빛을 향해 달리는 그림자</v>
      </c>
      <c r="J1817">
        <v>100</v>
      </c>
      <c r="K1817">
        <v>300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3</v>
      </c>
      <c r="AI1817">
        <v>0</v>
      </c>
      <c r="AJ1817">
        <v>0</v>
      </c>
      <c r="AK1817">
        <v>300</v>
      </c>
      <c r="AL1817">
        <v>0</v>
      </c>
      <c r="AM1817">
        <v>0</v>
      </c>
      <c r="AN1817">
        <v>0</v>
      </c>
      <c r="AO1817">
        <v>0</v>
      </c>
      <c r="AP1817">
        <v>210</v>
      </c>
      <c r="AT1817" t="str">
        <f t="shared" si="322"/>
        <v>9791166067563</v>
      </c>
      <c r="AV1817" t="str">
        <f t="shared" si="323"/>
        <v>판타지 웹소설 &gt; 현대 판타지</v>
      </c>
    </row>
    <row r="1818" spans="1:48" x14ac:dyDescent="0.4">
      <c r="A1818">
        <v>2313011400</v>
      </c>
      <c r="B1818">
        <v>2313011467</v>
      </c>
      <c r="C1818" t="str">
        <f>T("최종 보스 4권 2화")</f>
        <v>최종 보스 4권 2화</v>
      </c>
      <c r="D1818" t="str">
        <f>T("68")</f>
        <v>68</v>
      </c>
      <c r="E1818" t="str">
        <f t="shared" si="320"/>
        <v>무장</v>
      </c>
      <c r="H1818" t="str">
        <f t="shared" si="319"/>
        <v>스토리위즈</v>
      </c>
      <c r="I1818" t="str">
        <f t="shared" si="321"/>
        <v>최종 보스 : 빛을 향해 달리는 그림자</v>
      </c>
      <c r="J1818">
        <v>100</v>
      </c>
      <c r="K1818">
        <v>300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3</v>
      </c>
      <c r="AI1818">
        <v>0</v>
      </c>
      <c r="AJ1818">
        <v>0</v>
      </c>
      <c r="AK1818">
        <v>300</v>
      </c>
      <c r="AL1818">
        <v>0</v>
      </c>
      <c r="AM1818">
        <v>0</v>
      </c>
      <c r="AN1818">
        <v>0</v>
      </c>
      <c r="AO1818">
        <v>0</v>
      </c>
      <c r="AP1818">
        <v>210</v>
      </c>
      <c r="AT1818" t="str">
        <f t="shared" si="322"/>
        <v>9791166067563</v>
      </c>
      <c r="AV1818" t="str">
        <f t="shared" si="323"/>
        <v>판타지 웹소설 &gt; 현대 판타지</v>
      </c>
    </row>
    <row r="1819" spans="1:48" x14ac:dyDescent="0.4">
      <c r="A1819">
        <v>2313011400</v>
      </c>
      <c r="B1819">
        <v>2313011468</v>
      </c>
      <c r="C1819" t="str">
        <f>T("최종 보스 4권 3화")</f>
        <v>최종 보스 4권 3화</v>
      </c>
      <c r="D1819" t="str">
        <f>T("69")</f>
        <v>69</v>
      </c>
      <c r="E1819" t="str">
        <f t="shared" si="320"/>
        <v>무장</v>
      </c>
      <c r="H1819" t="str">
        <f t="shared" si="319"/>
        <v>스토리위즈</v>
      </c>
      <c r="I1819" t="str">
        <f t="shared" si="321"/>
        <v>최종 보스 : 빛을 향해 달리는 그림자</v>
      </c>
      <c r="J1819">
        <v>100</v>
      </c>
      <c r="K1819">
        <v>300</v>
      </c>
      <c r="L1819">
        <v>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3</v>
      </c>
      <c r="AI1819">
        <v>0</v>
      </c>
      <c r="AJ1819">
        <v>0</v>
      </c>
      <c r="AK1819">
        <v>300</v>
      </c>
      <c r="AL1819">
        <v>0</v>
      </c>
      <c r="AM1819">
        <v>0</v>
      </c>
      <c r="AN1819">
        <v>0</v>
      </c>
      <c r="AO1819">
        <v>0</v>
      </c>
      <c r="AP1819">
        <v>210</v>
      </c>
      <c r="AT1819" t="str">
        <f t="shared" si="322"/>
        <v>9791166067563</v>
      </c>
      <c r="AV1819" t="str">
        <f t="shared" si="323"/>
        <v>판타지 웹소설 &gt; 현대 판타지</v>
      </c>
    </row>
    <row r="1820" spans="1:48" x14ac:dyDescent="0.4">
      <c r="A1820">
        <v>2313011400</v>
      </c>
      <c r="B1820">
        <v>2313011469</v>
      </c>
      <c r="C1820" t="str">
        <f>T("최종 보스 4권 4화")</f>
        <v>최종 보스 4권 4화</v>
      </c>
      <c r="D1820" t="str">
        <f>T("70")</f>
        <v>70</v>
      </c>
      <c r="E1820" t="str">
        <f t="shared" si="320"/>
        <v>무장</v>
      </c>
      <c r="H1820" t="str">
        <f t="shared" si="319"/>
        <v>스토리위즈</v>
      </c>
      <c r="I1820" t="str">
        <f t="shared" si="321"/>
        <v>최종 보스 : 빛을 향해 달리는 그림자</v>
      </c>
      <c r="J1820">
        <v>100</v>
      </c>
      <c r="K1820">
        <v>300</v>
      </c>
      <c r="L1820">
        <v>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3</v>
      </c>
      <c r="AI1820">
        <v>0</v>
      </c>
      <c r="AJ1820">
        <v>0</v>
      </c>
      <c r="AK1820">
        <v>300</v>
      </c>
      <c r="AL1820">
        <v>0</v>
      </c>
      <c r="AM1820">
        <v>0</v>
      </c>
      <c r="AN1820">
        <v>0</v>
      </c>
      <c r="AO1820">
        <v>0</v>
      </c>
      <c r="AP1820">
        <v>210</v>
      </c>
      <c r="AT1820" t="str">
        <f t="shared" si="322"/>
        <v>9791166067563</v>
      </c>
      <c r="AV1820" t="str">
        <f t="shared" si="323"/>
        <v>판타지 웹소설 &gt; 현대 판타지</v>
      </c>
    </row>
    <row r="1821" spans="1:48" x14ac:dyDescent="0.4">
      <c r="A1821">
        <v>2313011400</v>
      </c>
      <c r="B1821">
        <v>2313011470</v>
      </c>
      <c r="C1821" t="str">
        <f>T("최종 보스 4권 5화")</f>
        <v>최종 보스 4권 5화</v>
      </c>
      <c r="D1821" t="str">
        <f>T("71")</f>
        <v>71</v>
      </c>
      <c r="E1821" t="str">
        <f t="shared" si="320"/>
        <v>무장</v>
      </c>
      <c r="H1821" t="str">
        <f t="shared" si="319"/>
        <v>스토리위즈</v>
      </c>
      <c r="I1821" t="str">
        <f t="shared" si="321"/>
        <v>최종 보스 : 빛을 향해 달리는 그림자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3</v>
      </c>
      <c r="AI1821">
        <v>0</v>
      </c>
      <c r="AJ1821">
        <v>0</v>
      </c>
      <c r="AK1821">
        <v>300</v>
      </c>
      <c r="AL1821">
        <v>0</v>
      </c>
      <c r="AM1821">
        <v>0</v>
      </c>
      <c r="AN1821">
        <v>0</v>
      </c>
      <c r="AO1821">
        <v>0</v>
      </c>
      <c r="AP1821">
        <v>210</v>
      </c>
      <c r="AT1821" t="str">
        <f t="shared" si="322"/>
        <v>9791166067563</v>
      </c>
      <c r="AV1821" t="str">
        <f t="shared" si="323"/>
        <v>판타지 웹소설 &gt; 현대 판타지</v>
      </c>
    </row>
    <row r="1822" spans="1:48" x14ac:dyDescent="0.4">
      <c r="A1822">
        <v>2313011400</v>
      </c>
      <c r="B1822">
        <v>2313011471</v>
      </c>
      <c r="C1822" t="str">
        <f>T("최종 보스 4권 6화")</f>
        <v>최종 보스 4권 6화</v>
      </c>
      <c r="D1822" t="str">
        <f>T("72")</f>
        <v>72</v>
      </c>
      <c r="E1822" t="str">
        <f t="shared" si="320"/>
        <v>무장</v>
      </c>
      <c r="H1822" t="str">
        <f t="shared" si="319"/>
        <v>스토리위즈</v>
      </c>
      <c r="I1822" t="str">
        <f t="shared" si="321"/>
        <v>최종 보스 : 빛을 향해 달리는 그림자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3</v>
      </c>
      <c r="AI1822">
        <v>0</v>
      </c>
      <c r="AJ1822">
        <v>0</v>
      </c>
      <c r="AK1822">
        <v>300</v>
      </c>
      <c r="AL1822">
        <v>0</v>
      </c>
      <c r="AM1822">
        <v>0</v>
      </c>
      <c r="AN1822">
        <v>0</v>
      </c>
      <c r="AO1822">
        <v>0</v>
      </c>
      <c r="AP1822">
        <v>210</v>
      </c>
      <c r="AT1822" t="str">
        <f t="shared" si="322"/>
        <v>9791166067563</v>
      </c>
      <c r="AV1822" t="str">
        <f t="shared" si="323"/>
        <v>판타지 웹소설 &gt; 현대 판타지</v>
      </c>
    </row>
    <row r="1823" spans="1:48" x14ac:dyDescent="0.4">
      <c r="A1823">
        <v>2313011400</v>
      </c>
      <c r="B1823">
        <v>2313011472</v>
      </c>
      <c r="C1823" t="str">
        <f>T("최종 보스 4권 7화")</f>
        <v>최종 보스 4권 7화</v>
      </c>
      <c r="D1823" t="str">
        <f>T("73")</f>
        <v>73</v>
      </c>
      <c r="E1823" t="str">
        <f t="shared" si="320"/>
        <v>무장</v>
      </c>
      <c r="H1823" t="str">
        <f t="shared" si="319"/>
        <v>스토리위즈</v>
      </c>
      <c r="I1823" t="str">
        <f t="shared" si="321"/>
        <v>최종 보스 : 빛을 향해 달리는 그림자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3</v>
      </c>
      <c r="AI1823">
        <v>0</v>
      </c>
      <c r="AJ1823">
        <v>0</v>
      </c>
      <c r="AK1823">
        <v>300</v>
      </c>
      <c r="AL1823">
        <v>0</v>
      </c>
      <c r="AM1823">
        <v>0</v>
      </c>
      <c r="AN1823">
        <v>0</v>
      </c>
      <c r="AO1823">
        <v>0</v>
      </c>
      <c r="AP1823">
        <v>210</v>
      </c>
      <c r="AT1823" t="str">
        <f t="shared" si="322"/>
        <v>9791166067563</v>
      </c>
      <c r="AV1823" t="str">
        <f t="shared" si="323"/>
        <v>판타지 웹소설 &gt; 현대 판타지</v>
      </c>
    </row>
    <row r="1824" spans="1:48" x14ac:dyDescent="0.4">
      <c r="A1824">
        <v>2313011400</v>
      </c>
      <c r="B1824">
        <v>2313011473</v>
      </c>
      <c r="C1824" t="str">
        <f>T("최종 보스 4권 8화")</f>
        <v>최종 보스 4권 8화</v>
      </c>
      <c r="D1824" t="str">
        <f>T("74")</f>
        <v>74</v>
      </c>
      <c r="E1824" t="str">
        <f t="shared" si="320"/>
        <v>무장</v>
      </c>
      <c r="H1824" t="str">
        <f t="shared" si="319"/>
        <v>스토리위즈</v>
      </c>
      <c r="I1824" t="str">
        <f t="shared" si="321"/>
        <v>최종 보스 : 빛을 향해 달리는 그림자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3</v>
      </c>
      <c r="AI1824">
        <v>0</v>
      </c>
      <c r="AJ1824">
        <v>0</v>
      </c>
      <c r="AK1824">
        <v>300</v>
      </c>
      <c r="AL1824">
        <v>0</v>
      </c>
      <c r="AM1824">
        <v>0</v>
      </c>
      <c r="AN1824">
        <v>0</v>
      </c>
      <c r="AO1824">
        <v>0</v>
      </c>
      <c r="AP1824">
        <v>210</v>
      </c>
      <c r="AT1824" t="str">
        <f t="shared" si="322"/>
        <v>9791166067563</v>
      </c>
      <c r="AV1824" t="str">
        <f t="shared" si="323"/>
        <v>판타지 웹소설 &gt; 현대 판타지</v>
      </c>
    </row>
    <row r="1825" spans="1:48" x14ac:dyDescent="0.4">
      <c r="A1825">
        <v>2313011400</v>
      </c>
      <c r="B1825">
        <v>2313011474</v>
      </c>
      <c r="C1825" t="str">
        <f>T("최종 보스 4권 9화")</f>
        <v>최종 보스 4권 9화</v>
      </c>
      <c r="D1825" t="str">
        <f>T("75")</f>
        <v>75</v>
      </c>
      <c r="E1825" t="str">
        <f t="shared" si="320"/>
        <v>무장</v>
      </c>
      <c r="H1825" t="str">
        <f t="shared" si="319"/>
        <v>스토리위즈</v>
      </c>
      <c r="I1825" t="str">
        <f t="shared" si="321"/>
        <v>최종 보스 : 빛을 향해 달리는 그림자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0</v>
      </c>
      <c r="AJ1825">
        <v>0</v>
      </c>
      <c r="AK1825">
        <v>300</v>
      </c>
      <c r="AL1825">
        <v>0</v>
      </c>
      <c r="AM1825">
        <v>0</v>
      </c>
      <c r="AN1825">
        <v>0</v>
      </c>
      <c r="AO1825">
        <v>0</v>
      </c>
      <c r="AP1825">
        <v>210</v>
      </c>
      <c r="AT1825" t="str">
        <f t="shared" si="322"/>
        <v>9791166067563</v>
      </c>
      <c r="AV1825" t="str">
        <f t="shared" si="323"/>
        <v>판타지 웹소설 &gt; 현대 판타지</v>
      </c>
    </row>
    <row r="1826" spans="1:48" x14ac:dyDescent="0.4">
      <c r="A1826">
        <v>2313011400</v>
      </c>
      <c r="B1826">
        <v>2313011475</v>
      </c>
      <c r="C1826" t="str">
        <f>T("최종 보스 4권 10화")</f>
        <v>최종 보스 4권 10화</v>
      </c>
      <c r="D1826" t="str">
        <f>T("76")</f>
        <v>76</v>
      </c>
      <c r="E1826" t="str">
        <f t="shared" si="320"/>
        <v>무장</v>
      </c>
      <c r="H1826" t="str">
        <f t="shared" si="319"/>
        <v>스토리위즈</v>
      </c>
      <c r="I1826" t="str">
        <f t="shared" si="321"/>
        <v>최종 보스 : 빛을 향해 달리는 그림자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0</v>
      </c>
      <c r="AJ1826">
        <v>0</v>
      </c>
      <c r="AK1826">
        <v>300</v>
      </c>
      <c r="AL1826">
        <v>0</v>
      </c>
      <c r="AM1826">
        <v>0</v>
      </c>
      <c r="AN1826">
        <v>0</v>
      </c>
      <c r="AO1826">
        <v>0</v>
      </c>
      <c r="AP1826">
        <v>210</v>
      </c>
      <c r="AT1826" t="str">
        <f t="shared" si="322"/>
        <v>9791166067563</v>
      </c>
      <c r="AV1826" t="str">
        <f t="shared" si="323"/>
        <v>판타지 웹소설 &gt; 현대 판타지</v>
      </c>
    </row>
    <row r="1827" spans="1:48" x14ac:dyDescent="0.4">
      <c r="A1827">
        <v>2313011400</v>
      </c>
      <c r="B1827">
        <v>2313011476</v>
      </c>
      <c r="C1827" t="str">
        <f>T("최종 보스 4권 11화")</f>
        <v>최종 보스 4권 11화</v>
      </c>
      <c r="D1827" t="str">
        <f>T("77")</f>
        <v>77</v>
      </c>
      <c r="E1827" t="str">
        <f t="shared" si="320"/>
        <v>무장</v>
      </c>
      <c r="H1827" t="str">
        <f t="shared" si="319"/>
        <v>스토리위즈</v>
      </c>
      <c r="I1827" t="str">
        <f t="shared" si="321"/>
        <v>최종 보스 : 빛을 향해 달리는 그림자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300</v>
      </c>
      <c r="AL1827">
        <v>0</v>
      </c>
      <c r="AM1827">
        <v>0</v>
      </c>
      <c r="AN1827">
        <v>0</v>
      </c>
      <c r="AO1827">
        <v>0</v>
      </c>
      <c r="AP1827">
        <v>210</v>
      </c>
      <c r="AT1827" t="str">
        <f t="shared" si="322"/>
        <v>9791166067563</v>
      </c>
      <c r="AV1827" t="str">
        <f t="shared" si="323"/>
        <v>판타지 웹소설 &gt; 현대 판타지</v>
      </c>
    </row>
    <row r="1828" spans="1:48" x14ac:dyDescent="0.4">
      <c r="A1828">
        <v>2313011400</v>
      </c>
      <c r="B1828">
        <v>2313011477</v>
      </c>
      <c r="C1828" t="str">
        <f>T("최종 보스 4권 12화")</f>
        <v>최종 보스 4권 12화</v>
      </c>
      <c r="D1828" t="str">
        <f>T("78")</f>
        <v>78</v>
      </c>
      <c r="E1828" t="str">
        <f t="shared" si="320"/>
        <v>무장</v>
      </c>
      <c r="H1828" t="str">
        <f t="shared" si="319"/>
        <v>스토리위즈</v>
      </c>
      <c r="I1828" t="str">
        <f t="shared" si="321"/>
        <v>최종 보스 : 빛을 향해 달리는 그림자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300</v>
      </c>
      <c r="AL1828">
        <v>0</v>
      </c>
      <c r="AM1828">
        <v>0</v>
      </c>
      <c r="AN1828">
        <v>0</v>
      </c>
      <c r="AO1828">
        <v>0</v>
      </c>
      <c r="AP1828">
        <v>210</v>
      </c>
      <c r="AT1828" t="str">
        <f t="shared" si="322"/>
        <v>9791166067563</v>
      </c>
      <c r="AV1828" t="str">
        <f t="shared" si="323"/>
        <v>판타지 웹소설 &gt; 현대 판타지</v>
      </c>
    </row>
    <row r="1829" spans="1:48" x14ac:dyDescent="0.4">
      <c r="A1829">
        <v>2313011400</v>
      </c>
      <c r="B1829">
        <v>2313011478</v>
      </c>
      <c r="C1829" t="str">
        <f>T("최종 보스 4권 13화")</f>
        <v>최종 보스 4권 13화</v>
      </c>
      <c r="D1829" t="str">
        <f>T("79")</f>
        <v>79</v>
      </c>
      <c r="E1829" t="str">
        <f t="shared" si="320"/>
        <v>무장</v>
      </c>
      <c r="H1829" t="str">
        <f t="shared" si="319"/>
        <v>스토리위즈</v>
      </c>
      <c r="I1829" t="str">
        <f t="shared" si="321"/>
        <v>최종 보스 : 빛을 향해 달리는 그림자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300</v>
      </c>
      <c r="AL1829">
        <v>0</v>
      </c>
      <c r="AM1829">
        <v>0</v>
      </c>
      <c r="AN1829">
        <v>0</v>
      </c>
      <c r="AO1829">
        <v>0</v>
      </c>
      <c r="AP1829">
        <v>210</v>
      </c>
      <c r="AT1829" t="str">
        <f t="shared" si="322"/>
        <v>9791166067563</v>
      </c>
      <c r="AV1829" t="str">
        <f t="shared" si="323"/>
        <v>판타지 웹소설 &gt; 현대 판타지</v>
      </c>
    </row>
    <row r="1830" spans="1:48" x14ac:dyDescent="0.4">
      <c r="A1830">
        <v>2313011400</v>
      </c>
      <c r="B1830">
        <v>2313011479</v>
      </c>
      <c r="C1830" t="str">
        <f>T("최종 보스 4권 14화")</f>
        <v>최종 보스 4권 14화</v>
      </c>
      <c r="D1830" t="str">
        <f>T("80")</f>
        <v>80</v>
      </c>
      <c r="E1830" t="str">
        <f t="shared" si="320"/>
        <v>무장</v>
      </c>
      <c r="H1830" t="str">
        <f t="shared" si="319"/>
        <v>스토리위즈</v>
      </c>
      <c r="I1830" t="str">
        <f t="shared" si="321"/>
        <v>최종 보스 : 빛을 향해 달리는 그림자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300</v>
      </c>
      <c r="AL1830">
        <v>0</v>
      </c>
      <c r="AM1830">
        <v>0</v>
      </c>
      <c r="AN1830">
        <v>0</v>
      </c>
      <c r="AO1830">
        <v>0</v>
      </c>
      <c r="AP1830">
        <v>210</v>
      </c>
      <c r="AT1830" t="str">
        <f t="shared" si="322"/>
        <v>9791166067563</v>
      </c>
      <c r="AV1830" t="str">
        <f t="shared" si="323"/>
        <v>판타지 웹소설 &gt; 현대 판타지</v>
      </c>
    </row>
    <row r="1831" spans="1:48" x14ac:dyDescent="0.4">
      <c r="A1831">
        <v>2313011400</v>
      </c>
      <c r="B1831">
        <v>2313011480</v>
      </c>
      <c r="C1831" t="str">
        <f>T("최종 보스 4권 15화")</f>
        <v>최종 보스 4권 15화</v>
      </c>
      <c r="D1831" t="str">
        <f>T("81")</f>
        <v>81</v>
      </c>
      <c r="E1831" t="str">
        <f t="shared" si="320"/>
        <v>무장</v>
      </c>
      <c r="H1831" t="str">
        <f t="shared" si="319"/>
        <v>스토리위즈</v>
      </c>
      <c r="I1831" t="str">
        <f t="shared" si="321"/>
        <v>최종 보스 : 빛을 향해 달리는 그림자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300</v>
      </c>
      <c r="AL1831">
        <v>0</v>
      </c>
      <c r="AM1831">
        <v>0</v>
      </c>
      <c r="AN1831">
        <v>0</v>
      </c>
      <c r="AO1831">
        <v>0</v>
      </c>
      <c r="AP1831">
        <v>210</v>
      </c>
      <c r="AT1831" t="str">
        <f t="shared" si="322"/>
        <v>9791166067563</v>
      </c>
      <c r="AV1831" t="str">
        <f t="shared" si="323"/>
        <v>판타지 웹소설 &gt; 현대 판타지</v>
      </c>
    </row>
    <row r="1832" spans="1:48" x14ac:dyDescent="0.4">
      <c r="A1832">
        <v>2313011400</v>
      </c>
      <c r="B1832">
        <v>2313011481</v>
      </c>
      <c r="C1832" t="str">
        <f>T("최종 보스 4권 16화")</f>
        <v>최종 보스 4권 16화</v>
      </c>
      <c r="D1832" t="str">
        <f>T("82")</f>
        <v>82</v>
      </c>
      <c r="E1832" t="str">
        <f t="shared" si="320"/>
        <v>무장</v>
      </c>
      <c r="H1832" t="str">
        <f t="shared" si="319"/>
        <v>스토리위즈</v>
      </c>
      <c r="I1832" t="str">
        <f t="shared" si="321"/>
        <v>최종 보스 : 빛을 향해 달리는 그림자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300</v>
      </c>
      <c r="AL1832">
        <v>0</v>
      </c>
      <c r="AM1832">
        <v>0</v>
      </c>
      <c r="AN1832">
        <v>0</v>
      </c>
      <c r="AO1832">
        <v>0</v>
      </c>
      <c r="AP1832">
        <v>210</v>
      </c>
      <c r="AT1832" t="str">
        <f t="shared" si="322"/>
        <v>9791166067563</v>
      </c>
      <c r="AV1832" t="str">
        <f t="shared" si="323"/>
        <v>판타지 웹소설 &gt; 현대 판타지</v>
      </c>
    </row>
    <row r="1833" spans="1:48" x14ac:dyDescent="0.4">
      <c r="A1833">
        <v>2313011400</v>
      </c>
      <c r="B1833">
        <v>2313011482</v>
      </c>
      <c r="C1833" t="str">
        <f>T("최종 보스 4권 17화")</f>
        <v>최종 보스 4권 17화</v>
      </c>
      <c r="D1833" t="str">
        <f>T("83")</f>
        <v>83</v>
      </c>
      <c r="E1833" t="str">
        <f t="shared" si="320"/>
        <v>무장</v>
      </c>
      <c r="H1833" t="str">
        <f t="shared" si="319"/>
        <v>스토리위즈</v>
      </c>
      <c r="I1833" t="str">
        <f t="shared" si="321"/>
        <v>최종 보스 : 빛을 향해 달리는 그림자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300</v>
      </c>
      <c r="AL1833">
        <v>0</v>
      </c>
      <c r="AM1833">
        <v>0</v>
      </c>
      <c r="AN1833">
        <v>0</v>
      </c>
      <c r="AO1833">
        <v>0</v>
      </c>
      <c r="AP1833">
        <v>210</v>
      </c>
      <c r="AT1833" t="str">
        <f t="shared" si="322"/>
        <v>9791166067563</v>
      </c>
      <c r="AV1833" t="str">
        <f t="shared" si="323"/>
        <v>판타지 웹소설 &gt; 현대 판타지</v>
      </c>
    </row>
    <row r="1834" spans="1:48" x14ac:dyDescent="0.4">
      <c r="A1834">
        <v>2313011400</v>
      </c>
      <c r="B1834">
        <v>2313011483</v>
      </c>
      <c r="C1834" t="str">
        <f>T("최종 보스 4권 18화")</f>
        <v>최종 보스 4권 18화</v>
      </c>
      <c r="D1834" t="str">
        <f>T("84")</f>
        <v>84</v>
      </c>
      <c r="E1834" t="str">
        <f t="shared" si="320"/>
        <v>무장</v>
      </c>
      <c r="H1834" t="str">
        <f t="shared" si="319"/>
        <v>스토리위즈</v>
      </c>
      <c r="I1834" t="str">
        <f t="shared" si="321"/>
        <v>최종 보스 : 빛을 향해 달리는 그림자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300</v>
      </c>
      <c r="AL1834">
        <v>0</v>
      </c>
      <c r="AM1834">
        <v>0</v>
      </c>
      <c r="AN1834">
        <v>0</v>
      </c>
      <c r="AO1834">
        <v>0</v>
      </c>
      <c r="AP1834">
        <v>210</v>
      </c>
      <c r="AT1834" t="str">
        <f t="shared" si="322"/>
        <v>9791166067563</v>
      </c>
      <c r="AV1834" t="str">
        <f t="shared" si="323"/>
        <v>판타지 웹소설 &gt; 현대 판타지</v>
      </c>
    </row>
    <row r="1835" spans="1:48" x14ac:dyDescent="0.4">
      <c r="A1835">
        <v>2313011400</v>
      </c>
      <c r="B1835">
        <v>2313011484</v>
      </c>
      <c r="C1835" t="str">
        <f>T("최종 보스 4권 19화")</f>
        <v>최종 보스 4권 19화</v>
      </c>
      <c r="D1835" t="str">
        <f>T("85")</f>
        <v>85</v>
      </c>
      <c r="E1835" t="str">
        <f t="shared" si="320"/>
        <v>무장</v>
      </c>
      <c r="H1835" t="str">
        <f t="shared" si="319"/>
        <v>스토리위즈</v>
      </c>
      <c r="I1835" t="str">
        <f t="shared" si="321"/>
        <v>최종 보스 : 빛을 향해 달리는 그림자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300</v>
      </c>
      <c r="AL1835">
        <v>0</v>
      </c>
      <c r="AM1835">
        <v>0</v>
      </c>
      <c r="AN1835">
        <v>0</v>
      </c>
      <c r="AO1835">
        <v>0</v>
      </c>
      <c r="AP1835">
        <v>210</v>
      </c>
      <c r="AT1835" t="str">
        <f t="shared" si="322"/>
        <v>9791166067563</v>
      </c>
      <c r="AV1835" t="str">
        <f t="shared" si="323"/>
        <v>판타지 웹소설 &gt; 현대 판타지</v>
      </c>
    </row>
    <row r="1836" spans="1:48" x14ac:dyDescent="0.4">
      <c r="A1836">
        <v>2313011400</v>
      </c>
      <c r="B1836">
        <v>2313011485</v>
      </c>
      <c r="C1836" t="str">
        <f>T("최종 보스 4권 20화")</f>
        <v>최종 보스 4권 20화</v>
      </c>
      <c r="D1836" t="str">
        <f>T("86")</f>
        <v>86</v>
      </c>
      <c r="E1836" t="str">
        <f t="shared" si="320"/>
        <v>무장</v>
      </c>
      <c r="H1836" t="str">
        <f t="shared" si="319"/>
        <v>스토리위즈</v>
      </c>
      <c r="I1836" t="str">
        <f t="shared" si="321"/>
        <v>최종 보스 : 빛을 향해 달리는 그림자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>
        <v>210</v>
      </c>
      <c r="AT1836" t="str">
        <f t="shared" si="322"/>
        <v>9791166067563</v>
      </c>
      <c r="AV1836" t="str">
        <f t="shared" si="323"/>
        <v>판타지 웹소설 &gt; 현대 판타지</v>
      </c>
    </row>
    <row r="1837" spans="1:48" x14ac:dyDescent="0.4">
      <c r="A1837">
        <v>2313011400</v>
      </c>
      <c r="B1837">
        <v>2313011486</v>
      </c>
      <c r="C1837" t="str">
        <f>T("최종 보스 4권 21화")</f>
        <v>최종 보스 4권 21화</v>
      </c>
      <c r="D1837" t="str">
        <f>T("87")</f>
        <v>87</v>
      </c>
      <c r="E1837" t="str">
        <f t="shared" si="320"/>
        <v>무장</v>
      </c>
      <c r="H1837" t="str">
        <f t="shared" si="319"/>
        <v>스토리위즈</v>
      </c>
      <c r="I1837" t="str">
        <f t="shared" si="321"/>
        <v>최종 보스 : 빛을 향해 달리는 그림자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300</v>
      </c>
      <c r="AL1837">
        <v>0</v>
      </c>
      <c r="AM1837">
        <v>0</v>
      </c>
      <c r="AN1837">
        <v>0</v>
      </c>
      <c r="AO1837">
        <v>0</v>
      </c>
      <c r="AP1837">
        <v>210</v>
      </c>
      <c r="AT1837" t="str">
        <f t="shared" si="322"/>
        <v>9791166067563</v>
      </c>
      <c r="AV1837" t="str">
        <f t="shared" si="323"/>
        <v>판타지 웹소설 &gt; 현대 판타지</v>
      </c>
    </row>
    <row r="1838" spans="1:48" x14ac:dyDescent="0.4">
      <c r="A1838">
        <v>2313011400</v>
      </c>
      <c r="B1838">
        <v>2313011487</v>
      </c>
      <c r="C1838" t="str">
        <f>T("최종 보스 5권 1화")</f>
        <v>최종 보스 5권 1화</v>
      </c>
      <c r="D1838" t="str">
        <f>T("88")</f>
        <v>88</v>
      </c>
      <c r="E1838" t="str">
        <f t="shared" si="320"/>
        <v>무장</v>
      </c>
      <c r="H1838" t="str">
        <f t="shared" si="319"/>
        <v>스토리위즈</v>
      </c>
      <c r="I1838" t="str">
        <f t="shared" si="321"/>
        <v>최종 보스 : 빛을 향해 달리는 그림자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300</v>
      </c>
      <c r="AL1838">
        <v>0</v>
      </c>
      <c r="AM1838">
        <v>0</v>
      </c>
      <c r="AN1838">
        <v>0</v>
      </c>
      <c r="AO1838">
        <v>0</v>
      </c>
      <c r="AP1838">
        <v>210</v>
      </c>
      <c r="AT1838" t="str">
        <f t="shared" si="322"/>
        <v>9791166067563</v>
      </c>
      <c r="AV1838" t="str">
        <f t="shared" si="323"/>
        <v>판타지 웹소설 &gt; 현대 판타지</v>
      </c>
    </row>
    <row r="1839" spans="1:48" x14ac:dyDescent="0.4">
      <c r="A1839">
        <v>2313011400</v>
      </c>
      <c r="B1839">
        <v>2313011509</v>
      </c>
      <c r="C1839" t="str">
        <f>T("최종 보스 6권 2화")</f>
        <v>최종 보스 6권 2화</v>
      </c>
      <c r="D1839" t="str">
        <f>T("110")</f>
        <v>110</v>
      </c>
      <c r="E1839" t="str">
        <f t="shared" si="320"/>
        <v>무장</v>
      </c>
      <c r="H1839" t="str">
        <f t="shared" si="319"/>
        <v>스토리위즈</v>
      </c>
      <c r="I1839" t="str">
        <f t="shared" si="321"/>
        <v>최종 보스 : 빛을 향해 달리는 그림자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300</v>
      </c>
      <c r="AL1839">
        <v>0</v>
      </c>
      <c r="AM1839">
        <v>0</v>
      </c>
      <c r="AN1839">
        <v>0</v>
      </c>
      <c r="AO1839">
        <v>0</v>
      </c>
      <c r="AP1839">
        <v>210</v>
      </c>
      <c r="AT1839" t="str">
        <f t="shared" si="322"/>
        <v>9791166067563</v>
      </c>
      <c r="AV1839" t="str">
        <f t="shared" si="323"/>
        <v>판타지 웹소설 &gt; 현대 판타지</v>
      </c>
    </row>
    <row r="1840" spans="1:48" x14ac:dyDescent="0.4">
      <c r="A1840">
        <v>2313011400</v>
      </c>
      <c r="B1840">
        <v>2313011516</v>
      </c>
      <c r="C1840" t="str">
        <f>T("최종 보스 6권 9화")</f>
        <v>최종 보스 6권 9화</v>
      </c>
      <c r="D1840" t="str">
        <f>T("117")</f>
        <v>117</v>
      </c>
      <c r="E1840" t="str">
        <f t="shared" si="320"/>
        <v>무장</v>
      </c>
      <c r="H1840" t="str">
        <f t="shared" si="319"/>
        <v>스토리위즈</v>
      </c>
      <c r="I1840" t="str">
        <f t="shared" si="321"/>
        <v>최종 보스 : 빛을 향해 달리는 그림자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300</v>
      </c>
      <c r="AL1840">
        <v>0</v>
      </c>
      <c r="AM1840">
        <v>0</v>
      </c>
      <c r="AN1840">
        <v>0</v>
      </c>
      <c r="AO1840">
        <v>0</v>
      </c>
      <c r="AP1840">
        <v>210</v>
      </c>
      <c r="AT1840" t="str">
        <f t="shared" si="322"/>
        <v>9791166067563</v>
      </c>
      <c r="AV1840" t="str">
        <f t="shared" si="323"/>
        <v>판타지 웹소설 &gt; 현대 판타지</v>
      </c>
    </row>
    <row r="1841" spans="1:48" x14ac:dyDescent="0.4">
      <c r="A1841">
        <v>2313011400</v>
      </c>
      <c r="B1841">
        <v>2313011682</v>
      </c>
      <c r="C1841" t="str">
        <f>T("최종 보스 14권 11화")</f>
        <v>최종 보스 14권 11화</v>
      </c>
      <c r="D1841" t="str">
        <f>T("283")</f>
        <v>283</v>
      </c>
      <c r="E1841" t="str">
        <f t="shared" si="320"/>
        <v>무장</v>
      </c>
      <c r="H1841" t="str">
        <f t="shared" si="319"/>
        <v>스토리위즈</v>
      </c>
      <c r="I1841" t="str">
        <f t="shared" si="321"/>
        <v>최종 보스 : 빛을 향해 달리는 그림자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300</v>
      </c>
      <c r="AL1841">
        <v>0</v>
      </c>
      <c r="AM1841">
        <v>0</v>
      </c>
      <c r="AN1841">
        <v>0</v>
      </c>
      <c r="AO1841">
        <v>0</v>
      </c>
      <c r="AP1841">
        <v>210</v>
      </c>
      <c r="AT1841" t="str">
        <f t="shared" si="322"/>
        <v>9791166067563</v>
      </c>
      <c r="AV1841" t="str">
        <f t="shared" si="323"/>
        <v>판타지 웹소설 &gt; 현대 판타지</v>
      </c>
    </row>
    <row r="1842" spans="1:48" x14ac:dyDescent="0.4">
      <c r="A1842">
        <v>2313011400</v>
      </c>
      <c r="B1842">
        <v>2313011701</v>
      </c>
      <c r="C1842" t="str">
        <f>T("최종 보스 15권 10화")</f>
        <v>최종 보스 15권 10화</v>
      </c>
      <c r="D1842" t="str">
        <f>T("302")</f>
        <v>302</v>
      </c>
      <c r="E1842" t="str">
        <f t="shared" si="320"/>
        <v>무장</v>
      </c>
      <c r="H1842" t="str">
        <f t="shared" si="319"/>
        <v>스토리위즈</v>
      </c>
      <c r="I1842" t="str">
        <f t="shared" si="321"/>
        <v>최종 보스 : 빛을 향해 달리는 그림자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300</v>
      </c>
      <c r="AL1842">
        <v>0</v>
      </c>
      <c r="AM1842">
        <v>0</v>
      </c>
      <c r="AN1842">
        <v>0</v>
      </c>
      <c r="AO1842">
        <v>0</v>
      </c>
      <c r="AP1842">
        <v>210</v>
      </c>
      <c r="AT1842" t="str">
        <f t="shared" si="322"/>
        <v>9791166067563</v>
      </c>
      <c r="AV1842" t="str">
        <f t="shared" si="323"/>
        <v>판타지 웹소설 &gt; 현대 판타지</v>
      </c>
    </row>
    <row r="1843" spans="1:48" x14ac:dyDescent="0.4">
      <c r="A1843">
        <v>2313011400</v>
      </c>
      <c r="B1843">
        <v>2313011702</v>
      </c>
      <c r="C1843" t="str">
        <f>T("최종 보스 15권 11화")</f>
        <v>최종 보스 15권 11화</v>
      </c>
      <c r="D1843" t="str">
        <f>T("303")</f>
        <v>303</v>
      </c>
      <c r="E1843" t="str">
        <f t="shared" si="320"/>
        <v>무장</v>
      </c>
      <c r="H1843" t="str">
        <f t="shared" si="319"/>
        <v>스토리위즈</v>
      </c>
      <c r="I1843" t="str">
        <f t="shared" si="321"/>
        <v>최종 보스 : 빛을 향해 달리는 그림자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300</v>
      </c>
      <c r="AL1843">
        <v>0</v>
      </c>
      <c r="AM1843">
        <v>0</v>
      </c>
      <c r="AN1843">
        <v>0</v>
      </c>
      <c r="AO1843">
        <v>0</v>
      </c>
      <c r="AP1843">
        <v>210</v>
      </c>
      <c r="AT1843" t="str">
        <f t="shared" si="322"/>
        <v>9791166067563</v>
      </c>
      <c r="AV1843" t="str">
        <f t="shared" si="323"/>
        <v>판타지 웹소설 &gt; 현대 판타지</v>
      </c>
    </row>
    <row r="1844" spans="1:48" x14ac:dyDescent="0.4">
      <c r="A1844">
        <v>2313011400</v>
      </c>
      <c r="B1844">
        <v>2313011732</v>
      </c>
      <c r="C1844" t="str">
        <f>T("최종 보스 17권 1화")</f>
        <v>최종 보스 17권 1화</v>
      </c>
      <c r="D1844" t="str">
        <f>T("333")</f>
        <v>333</v>
      </c>
      <c r="E1844" t="str">
        <f t="shared" si="320"/>
        <v>무장</v>
      </c>
      <c r="H1844" t="str">
        <f t="shared" si="319"/>
        <v>스토리위즈</v>
      </c>
      <c r="I1844" t="str">
        <f t="shared" si="321"/>
        <v>최종 보스 : 빛을 향해 달리는 그림자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300</v>
      </c>
      <c r="AL1844">
        <v>0</v>
      </c>
      <c r="AM1844">
        <v>0</v>
      </c>
      <c r="AN1844">
        <v>0</v>
      </c>
      <c r="AO1844">
        <v>0</v>
      </c>
      <c r="AP1844">
        <v>210</v>
      </c>
      <c r="AT1844" t="str">
        <f t="shared" si="322"/>
        <v>9791166067563</v>
      </c>
      <c r="AV1844" t="str">
        <f t="shared" si="323"/>
        <v>판타지 웹소설 &gt; 현대 판타지</v>
      </c>
    </row>
    <row r="1845" spans="1:48" x14ac:dyDescent="0.4">
      <c r="A1845">
        <v>2313011400</v>
      </c>
      <c r="B1845">
        <v>2313011733</v>
      </c>
      <c r="C1845" t="str">
        <f>T("최종 보스 17권 2화")</f>
        <v>최종 보스 17권 2화</v>
      </c>
      <c r="D1845" t="str">
        <f>T("334")</f>
        <v>334</v>
      </c>
      <c r="E1845" t="str">
        <f t="shared" si="320"/>
        <v>무장</v>
      </c>
      <c r="H1845" t="str">
        <f t="shared" si="319"/>
        <v>스토리위즈</v>
      </c>
      <c r="I1845" t="str">
        <f t="shared" si="321"/>
        <v>최종 보스 : 빛을 향해 달리는 그림자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300</v>
      </c>
      <c r="AL1845">
        <v>0</v>
      </c>
      <c r="AM1845">
        <v>0</v>
      </c>
      <c r="AN1845">
        <v>0</v>
      </c>
      <c r="AO1845">
        <v>0</v>
      </c>
      <c r="AP1845">
        <v>210</v>
      </c>
      <c r="AT1845" t="str">
        <f t="shared" si="322"/>
        <v>9791166067563</v>
      </c>
      <c r="AV1845" t="str">
        <f t="shared" si="323"/>
        <v>판타지 웹소설 &gt; 현대 판타지</v>
      </c>
    </row>
    <row r="1846" spans="1:48" x14ac:dyDescent="0.4">
      <c r="A1846">
        <v>2313011400</v>
      </c>
      <c r="B1846">
        <v>2313011734</v>
      </c>
      <c r="C1846" t="str">
        <f>T("최종 보스 17권 3화")</f>
        <v>최종 보스 17권 3화</v>
      </c>
      <c r="D1846" t="str">
        <f>T("335")</f>
        <v>335</v>
      </c>
      <c r="E1846" t="str">
        <f t="shared" si="320"/>
        <v>무장</v>
      </c>
      <c r="H1846" t="str">
        <f t="shared" si="319"/>
        <v>스토리위즈</v>
      </c>
      <c r="I1846" t="str">
        <f t="shared" si="321"/>
        <v>최종 보스 : 빛을 향해 달리는 그림자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300</v>
      </c>
      <c r="AL1846">
        <v>0</v>
      </c>
      <c r="AM1846">
        <v>0</v>
      </c>
      <c r="AN1846">
        <v>0</v>
      </c>
      <c r="AO1846">
        <v>0</v>
      </c>
      <c r="AP1846">
        <v>210</v>
      </c>
      <c r="AT1846" t="str">
        <f t="shared" si="322"/>
        <v>9791166067563</v>
      </c>
      <c r="AV1846" t="str">
        <f t="shared" si="323"/>
        <v>판타지 웹소설 &gt; 현대 판타지</v>
      </c>
    </row>
    <row r="1847" spans="1:48" x14ac:dyDescent="0.4">
      <c r="A1847">
        <v>2313011400</v>
      </c>
      <c r="B1847">
        <v>2313011735</v>
      </c>
      <c r="C1847" t="str">
        <f>T("최종 보스 17권 4화")</f>
        <v>최종 보스 17권 4화</v>
      </c>
      <c r="D1847" t="str">
        <f>T("336")</f>
        <v>336</v>
      </c>
      <c r="E1847" t="str">
        <f t="shared" si="320"/>
        <v>무장</v>
      </c>
      <c r="H1847" t="str">
        <f t="shared" si="319"/>
        <v>스토리위즈</v>
      </c>
      <c r="I1847" t="str">
        <f t="shared" si="321"/>
        <v>최종 보스 : 빛을 향해 달리는 그림자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300</v>
      </c>
      <c r="AL1847">
        <v>0</v>
      </c>
      <c r="AM1847">
        <v>0</v>
      </c>
      <c r="AN1847">
        <v>0</v>
      </c>
      <c r="AO1847">
        <v>0</v>
      </c>
      <c r="AP1847">
        <v>210</v>
      </c>
      <c r="AT1847" t="str">
        <f t="shared" si="322"/>
        <v>9791166067563</v>
      </c>
      <c r="AV1847" t="str">
        <f t="shared" si="323"/>
        <v>판타지 웹소설 &gt; 현대 판타지</v>
      </c>
    </row>
    <row r="1848" spans="1:48" x14ac:dyDescent="0.4">
      <c r="A1848">
        <v>2313011400</v>
      </c>
      <c r="B1848">
        <v>2313011736</v>
      </c>
      <c r="C1848" t="str">
        <f>T("최종 보스 17권 5화")</f>
        <v>최종 보스 17권 5화</v>
      </c>
      <c r="D1848" t="str">
        <f>T("337")</f>
        <v>337</v>
      </c>
      <c r="E1848" t="str">
        <f t="shared" si="320"/>
        <v>무장</v>
      </c>
      <c r="H1848" t="str">
        <f t="shared" si="319"/>
        <v>스토리위즈</v>
      </c>
      <c r="I1848" t="str">
        <f t="shared" si="321"/>
        <v>최종 보스 : 빛을 향해 달리는 그림자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300</v>
      </c>
      <c r="AL1848">
        <v>0</v>
      </c>
      <c r="AM1848">
        <v>0</v>
      </c>
      <c r="AN1848">
        <v>0</v>
      </c>
      <c r="AO1848">
        <v>0</v>
      </c>
      <c r="AP1848">
        <v>210</v>
      </c>
      <c r="AT1848" t="str">
        <f t="shared" si="322"/>
        <v>9791166067563</v>
      </c>
      <c r="AV1848" t="str">
        <f t="shared" si="323"/>
        <v>판타지 웹소설 &gt; 현대 판타지</v>
      </c>
    </row>
    <row r="1849" spans="1:48" x14ac:dyDescent="0.4">
      <c r="A1849">
        <v>2313011400</v>
      </c>
      <c r="B1849">
        <v>2313011737</v>
      </c>
      <c r="C1849" t="str">
        <f>T("최종 보스 17권 6화")</f>
        <v>최종 보스 17권 6화</v>
      </c>
      <c r="D1849" t="str">
        <f>T("338")</f>
        <v>338</v>
      </c>
      <c r="E1849" t="str">
        <f t="shared" si="320"/>
        <v>무장</v>
      </c>
      <c r="H1849" t="str">
        <f t="shared" si="319"/>
        <v>스토리위즈</v>
      </c>
      <c r="I1849" t="str">
        <f t="shared" si="321"/>
        <v>최종 보스 : 빛을 향해 달리는 그림자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300</v>
      </c>
      <c r="AL1849">
        <v>0</v>
      </c>
      <c r="AM1849">
        <v>0</v>
      </c>
      <c r="AN1849">
        <v>0</v>
      </c>
      <c r="AO1849">
        <v>0</v>
      </c>
      <c r="AP1849">
        <v>210</v>
      </c>
      <c r="AT1849" t="str">
        <f t="shared" si="322"/>
        <v>9791166067563</v>
      </c>
      <c r="AV1849" t="str">
        <f t="shared" si="323"/>
        <v>판타지 웹소설 &gt; 현대 판타지</v>
      </c>
    </row>
    <row r="1850" spans="1:48" x14ac:dyDescent="0.4">
      <c r="A1850">
        <v>2313011400</v>
      </c>
      <c r="B1850">
        <v>2313011738</v>
      </c>
      <c r="C1850" t="str">
        <f>T("최종 보스 17권 7화")</f>
        <v>최종 보스 17권 7화</v>
      </c>
      <c r="D1850" t="str">
        <f>T("339")</f>
        <v>339</v>
      </c>
      <c r="E1850" t="str">
        <f t="shared" si="320"/>
        <v>무장</v>
      </c>
      <c r="H1850" t="str">
        <f t="shared" si="319"/>
        <v>스토리위즈</v>
      </c>
      <c r="I1850" t="str">
        <f t="shared" si="321"/>
        <v>최종 보스 : 빛을 향해 달리는 그림자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300</v>
      </c>
      <c r="AL1850">
        <v>0</v>
      </c>
      <c r="AM1850">
        <v>0</v>
      </c>
      <c r="AN1850">
        <v>0</v>
      </c>
      <c r="AO1850">
        <v>0</v>
      </c>
      <c r="AP1850">
        <v>210</v>
      </c>
      <c r="AT1850" t="str">
        <f t="shared" si="322"/>
        <v>9791166067563</v>
      </c>
      <c r="AV1850" t="str">
        <f t="shared" si="323"/>
        <v>판타지 웹소설 &gt; 현대 판타지</v>
      </c>
    </row>
    <row r="1851" spans="1:48" x14ac:dyDescent="0.4">
      <c r="A1851">
        <v>2313011400</v>
      </c>
      <c r="B1851">
        <v>2313011739</v>
      </c>
      <c r="C1851" t="str">
        <f>T("최종 보스 17권 8화")</f>
        <v>최종 보스 17권 8화</v>
      </c>
      <c r="D1851" t="str">
        <f>T("340")</f>
        <v>340</v>
      </c>
      <c r="E1851" t="str">
        <f t="shared" si="320"/>
        <v>무장</v>
      </c>
      <c r="H1851" t="str">
        <f t="shared" si="319"/>
        <v>스토리위즈</v>
      </c>
      <c r="I1851" t="str">
        <f t="shared" si="321"/>
        <v>최종 보스 : 빛을 향해 달리는 그림자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>
        <v>210</v>
      </c>
      <c r="AT1851" t="str">
        <f t="shared" si="322"/>
        <v>9791166067563</v>
      </c>
      <c r="AV1851" t="str">
        <f t="shared" si="323"/>
        <v>판타지 웹소설 &gt; 현대 판타지</v>
      </c>
    </row>
    <row r="1852" spans="1:48" x14ac:dyDescent="0.4">
      <c r="A1852">
        <v>2313011400</v>
      </c>
      <c r="B1852">
        <v>2313011740</v>
      </c>
      <c r="C1852" t="str">
        <f>T("최종 보스 17권 9화")</f>
        <v>최종 보스 17권 9화</v>
      </c>
      <c r="D1852" t="str">
        <f>T("341")</f>
        <v>341</v>
      </c>
      <c r="E1852" t="str">
        <f t="shared" si="320"/>
        <v>무장</v>
      </c>
      <c r="H1852" t="str">
        <f t="shared" si="319"/>
        <v>스토리위즈</v>
      </c>
      <c r="I1852" t="str">
        <f t="shared" si="321"/>
        <v>최종 보스 : 빛을 향해 달리는 그림자</v>
      </c>
      <c r="J1852">
        <v>100</v>
      </c>
      <c r="K1852">
        <v>300</v>
      </c>
      <c r="L1852">
        <v>3</v>
      </c>
      <c r="M1852">
        <v>0</v>
      </c>
      <c r="N1852">
        <v>100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400</v>
      </c>
      <c r="AH1852">
        <v>4</v>
      </c>
      <c r="AI1852">
        <v>0</v>
      </c>
      <c r="AJ1852">
        <v>0</v>
      </c>
      <c r="AK1852">
        <v>400</v>
      </c>
      <c r="AL1852">
        <v>0</v>
      </c>
      <c r="AM1852">
        <v>0</v>
      </c>
      <c r="AN1852">
        <v>0</v>
      </c>
      <c r="AO1852">
        <v>0</v>
      </c>
      <c r="AP1852">
        <v>280</v>
      </c>
      <c r="AT1852" t="str">
        <f t="shared" si="322"/>
        <v>9791166067563</v>
      </c>
      <c r="AV1852" t="str">
        <f t="shared" si="323"/>
        <v>판타지 웹소설 &gt; 현대 판타지</v>
      </c>
    </row>
    <row r="1853" spans="1:48" x14ac:dyDescent="0.4">
      <c r="A1853">
        <v>2313011400</v>
      </c>
      <c r="B1853">
        <v>2313011741</v>
      </c>
      <c r="C1853" t="str">
        <f>T("최종 보스 17권 10화")</f>
        <v>최종 보스 17권 10화</v>
      </c>
      <c r="D1853" t="str">
        <f>T("342")</f>
        <v>342</v>
      </c>
      <c r="E1853" t="str">
        <f t="shared" si="320"/>
        <v>무장</v>
      </c>
      <c r="H1853" t="str">
        <f t="shared" si="319"/>
        <v>스토리위즈</v>
      </c>
      <c r="I1853" t="str">
        <f t="shared" si="321"/>
        <v>최종 보스 : 빛을 향해 달리는 그림자</v>
      </c>
      <c r="J1853">
        <v>100</v>
      </c>
      <c r="K1853">
        <v>300</v>
      </c>
      <c r="L1853">
        <v>3</v>
      </c>
      <c r="M1853">
        <v>0</v>
      </c>
      <c r="N1853">
        <v>100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400</v>
      </c>
      <c r="AH1853">
        <v>4</v>
      </c>
      <c r="AI1853">
        <v>0</v>
      </c>
      <c r="AJ1853">
        <v>0</v>
      </c>
      <c r="AK1853">
        <v>400</v>
      </c>
      <c r="AL1853">
        <v>0</v>
      </c>
      <c r="AM1853">
        <v>0</v>
      </c>
      <c r="AN1853">
        <v>0</v>
      </c>
      <c r="AO1853">
        <v>0</v>
      </c>
      <c r="AP1853">
        <v>280</v>
      </c>
      <c r="AT1853" t="str">
        <f t="shared" si="322"/>
        <v>9791166067563</v>
      </c>
      <c r="AV1853" t="str">
        <f t="shared" si="323"/>
        <v>판타지 웹소설 &gt; 현대 판타지</v>
      </c>
    </row>
    <row r="1854" spans="1:48" x14ac:dyDescent="0.4">
      <c r="A1854">
        <v>2313011955</v>
      </c>
      <c r="B1854">
        <v>2313012636</v>
      </c>
      <c r="C1854" t="str">
        <f>T("갓 오브 블랙필드 420화 (외전 1)")</f>
        <v>갓 오브 블랙필드 420화 (외전 1)</v>
      </c>
      <c r="D1854" t="str">
        <f>T("420")</f>
        <v>420</v>
      </c>
      <c r="E1854" t="str">
        <f t="shared" si="320"/>
        <v>무장</v>
      </c>
      <c r="H1854" t="str">
        <f t="shared" si="319"/>
        <v>스토리위즈</v>
      </c>
      <c r="I1854" t="str">
        <f>T("갓 오브 블랙필드")</f>
        <v>갓 오브 블랙필드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>
        <v>210</v>
      </c>
      <c r="AR1854" t="str">
        <f>T("9788928067343")</f>
        <v>9788928067343</v>
      </c>
      <c r="AT1854" t="str">
        <f>T("9791137602113")</f>
        <v>9791137602113</v>
      </c>
      <c r="AV1854" t="str">
        <f t="shared" si="323"/>
        <v>판타지 웹소설 &gt; 현대 판타지</v>
      </c>
    </row>
    <row r="1855" spans="1:48" x14ac:dyDescent="0.4">
      <c r="A1855">
        <v>2313011955</v>
      </c>
      <c r="B1855">
        <v>2313012662</v>
      </c>
      <c r="C1855" t="str">
        <f>T("갓 오브 블랙필드 446화 (외전 27)")</f>
        <v>갓 오브 블랙필드 446화 (외전 27)</v>
      </c>
      <c r="D1855" t="str">
        <f>T("446")</f>
        <v>446</v>
      </c>
      <c r="E1855" t="str">
        <f t="shared" si="320"/>
        <v>무장</v>
      </c>
      <c r="H1855" t="str">
        <f t="shared" si="319"/>
        <v>스토리위즈</v>
      </c>
      <c r="I1855" t="str">
        <f>T("갓 오브 블랙필드")</f>
        <v>갓 오브 블랙필드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>
        <v>210</v>
      </c>
      <c r="AR1855" t="str">
        <f>T("9788928067343")</f>
        <v>9788928067343</v>
      </c>
      <c r="AT1855" t="str">
        <f>T("9791137602113")</f>
        <v>9791137602113</v>
      </c>
      <c r="AV1855" t="str">
        <f t="shared" si="323"/>
        <v>판타지 웹소설 &gt; 현대 판타지</v>
      </c>
    </row>
    <row r="1856" spans="1:48" x14ac:dyDescent="0.4">
      <c r="A1856">
        <v>2313011955</v>
      </c>
      <c r="B1856">
        <v>2313012685</v>
      </c>
      <c r="C1856" t="str">
        <f>T("갓 오브 블랙필드 469화 (외전 50)")</f>
        <v>갓 오브 블랙필드 469화 (외전 50)</v>
      </c>
      <c r="D1856" t="str">
        <f>T("469")</f>
        <v>469</v>
      </c>
      <c r="E1856" t="str">
        <f t="shared" si="320"/>
        <v>무장</v>
      </c>
      <c r="H1856" t="str">
        <f t="shared" si="319"/>
        <v>스토리위즈</v>
      </c>
      <c r="I1856" t="str">
        <f>T("갓 오브 블랙필드")</f>
        <v>갓 오브 블랙필드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>
        <v>210</v>
      </c>
      <c r="AR1856" t="str">
        <f>T("9788928067343")</f>
        <v>9788928067343</v>
      </c>
      <c r="AT1856" t="str">
        <f>T("9791137602113")</f>
        <v>9791137602113</v>
      </c>
      <c r="AV1856" t="str">
        <f t="shared" si="323"/>
        <v>판타지 웹소설 &gt; 현대 판타지</v>
      </c>
    </row>
    <row r="1857" spans="1:48" x14ac:dyDescent="0.4">
      <c r="A1857">
        <v>2313012849</v>
      </c>
      <c r="B1857">
        <v>2313012881</v>
      </c>
      <c r="C1857" t="str">
        <f>T("디버프 마스터 33화")</f>
        <v>디버프 마스터 33화</v>
      </c>
      <c r="D1857" t="str">
        <f>T("33")</f>
        <v>33</v>
      </c>
      <c r="E1857" t="str">
        <f t="shared" ref="E1857:E1920" si="324">T("담화공")</f>
        <v>담화공</v>
      </c>
      <c r="H1857" t="str">
        <f t="shared" si="319"/>
        <v>스토리위즈</v>
      </c>
      <c r="I1857" t="str">
        <f t="shared" ref="I1857:I1920" si="325">T("디버프 마스터")</f>
        <v>디버프 마스터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241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244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>
        <v>210</v>
      </c>
      <c r="AT1857" t="str">
        <f t="shared" ref="AT1857:AT1920" si="326">T("9791137602663")</f>
        <v>9791137602663</v>
      </c>
      <c r="AV1857" t="str">
        <f t="shared" ref="AV1857:AV1920" si="327">T("판타지 웹소설 &gt; 퓨전 판타지")</f>
        <v>판타지 웹소설 &gt; 퓨전 판타지</v>
      </c>
    </row>
    <row r="1858" spans="1:48" x14ac:dyDescent="0.4">
      <c r="A1858">
        <v>2313012849</v>
      </c>
      <c r="B1858">
        <v>2313012884</v>
      </c>
      <c r="C1858" t="str">
        <f>T("디버프 마스터 36화")</f>
        <v>디버프 마스터 36화</v>
      </c>
      <c r="D1858" t="str">
        <f>T("36")</f>
        <v>36</v>
      </c>
      <c r="E1858" t="str">
        <f t="shared" si="324"/>
        <v>담화공</v>
      </c>
      <c r="H1858" t="str">
        <f t="shared" si="319"/>
        <v>스토리위즈</v>
      </c>
      <c r="I1858" t="str">
        <f t="shared" si="325"/>
        <v>디버프 마스터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241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244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>
        <v>210</v>
      </c>
      <c r="AT1858" t="str">
        <f t="shared" si="326"/>
        <v>9791137602663</v>
      </c>
      <c r="AV1858" t="str">
        <f t="shared" si="327"/>
        <v>판타지 웹소설 &gt; 퓨전 판타지</v>
      </c>
    </row>
    <row r="1859" spans="1:48" x14ac:dyDescent="0.4">
      <c r="A1859">
        <v>2313012849</v>
      </c>
      <c r="B1859">
        <v>2313012885</v>
      </c>
      <c r="C1859" t="str">
        <f>T("디버프 마스터 37화")</f>
        <v>디버프 마스터 37화</v>
      </c>
      <c r="D1859" t="str">
        <f>T("37")</f>
        <v>37</v>
      </c>
      <c r="E1859" t="str">
        <f t="shared" si="324"/>
        <v>담화공</v>
      </c>
      <c r="H1859" t="str">
        <f t="shared" si="319"/>
        <v>스토리위즈</v>
      </c>
      <c r="I1859" t="str">
        <f t="shared" si="325"/>
        <v>디버프 마스터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242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245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>
        <v>210</v>
      </c>
      <c r="AT1859" t="str">
        <f t="shared" si="326"/>
        <v>9791137602663</v>
      </c>
      <c r="AV1859" t="str">
        <f t="shared" si="327"/>
        <v>판타지 웹소설 &gt; 퓨전 판타지</v>
      </c>
    </row>
    <row r="1860" spans="1:48" x14ac:dyDescent="0.4">
      <c r="A1860">
        <v>2313012849</v>
      </c>
      <c r="B1860">
        <v>2313012886</v>
      </c>
      <c r="C1860" t="str">
        <f>T("디버프 마스터 38화")</f>
        <v>디버프 마스터 38화</v>
      </c>
      <c r="D1860" t="str">
        <f>T("38")</f>
        <v>38</v>
      </c>
      <c r="E1860" t="str">
        <f t="shared" si="324"/>
        <v>담화공</v>
      </c>
      <c r="H1860" t="str">
        <f t="shared" si="319"/>
        <v>스토리위즈</v>
      </c>
      <c r="I1860" t="str">
        <f t="shared" si="325"/>
        <v>디버프 마스터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241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244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>
        <v>210</v>
      </c>
      <c r="AT1860" t="str">
        <f t="shared" si="326"/>
        <v>9791137602663</v>
      </c>
      <c r="AV1860" t="str">
        <f t="shared" si="327"/>
        <v>판타지 웹소설 &gt; 퓨전 판타지</v>
      </c>
    </row>
    <row r="1861" spans="1:48" x14ac:dyDescent="0.4">
      <c r="A1861">
        <v>2313012849</v>
      </c>
      <c r="B1861">
        <v>2313012887</v>
      </c>
      <c r="C1861" t="str">
        <f>T("디버프 마스터 39화")</f>
        <v>디버프 마스터 39화</v>
      </c>
      <c r="D1861" t="str">
        <f>T("39")</f>
        <v>39</v>
      </c>
      <c r="E1861" t="str">
        <f t="shared" si="324"/>
        <v>담화공</v>
      </c>
      <c r="H1861" t="str">
        <f t="shared" si="319"/>
        <v>스토리위즈</v>
      </c>
      <c r="I1861" t="str">
        <f t="shared" si="325"/>
        <v>디버프 마스터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242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245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>
        <v>210</v>
      </c>
      <c r="AT1861" t="str">
        <f t="shared" si="326"/>
        <v>9791137602663</v>
      </c>
      <c r="AV1861" t="str">
        <f t="shared" si="327"/>
        <v>판타지 웹소설 &gt; 퓨전 판타지</v>
      </c>
    </row>
    <row r="1862" spans="1:48" x14ac:dyDescent="0.4">
      <c r="A1862">
        <v>2313012849</v>
      </c>
      <c r="B1862">
        <v>2313012888</v>
      </c>
      <c r="C1862" t="str">
        <f>T("디버프 마스터 40화")</f>
        <v>디버프 마스터 40화</v>
      </c>
      <c r="D1862" t="str">
        <f>T("40")</f>
        <v>40</v>
      </c>
      <c r="E1862" t="str">
        <f t="shared" si="324"/>
        <v>담화공</v>
      </c>
      <c r="H1862" t="str">
        <f t="shared" si="319"/>
        <v>스토리위즈</v>
      </c>
      <c r="I1862" t="str">
        <f t="shared" si="325"/>
        <v>디버프 마스터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241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244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>
        <v>210</v>
      </c>
      <c r="AT1862" t="str">
        <f t="shared" si="326"/>
        <v>9791137602663</v>
      </c>
      <c r="AV1862" t="str">
        <f t="shared" si="327"/>
        <v>판타지 웹소설 &gt; 퓨전 판타지</v>
      </c>
    </row>
    <row r="1863" spans="1:48" x14ac:dyDescent="0.4">
      <c r="A1863">
        <v>2313012849</v>
      </c>
      <c r="B1863">
        <v>2313012889</v>
      </c>
      <c r="C1863" t="str">
        <f>T("디버프 마스터 41화")</f>
        <v>디버프 마스터 41화</v>
      </c>
      <c r="D1863" t="str">
        <f>T("41")</f>
        <v>41</v>
      </c>
      <c r="E1863" t="str">
        <f t="shared" si="324"/>
        <v>담화공</v>
      </c>
      <c r="H1863" t="str">
        <f t="shared" si="319"/>
        <v>스토리위즈</v>
      </c>
      <c r="I1863" t="str">
        <f t="shared" si="325"/>
        <v>디버프 마스터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246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249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>
        <v>210</v>
      </c>
      <c r="AT1863" t="str">
        <f t="shared" si="326"/>
        <v>9791137602663</v>
      </c>
      <c r="AV1863" t="str">
        <f t="shared" si="327"/>
        <v>판타지 웹소설 &gt; 퓨전 판타지</v>
      </c>
    </row>
    <row r="1864" spans="1:48" x14ac:dyDescent="0.4">
      <c r="A1864">
        <v>2313012849</v>
      </c>
      <c r="B1864">
        <v>2313012890</v>
      </c>
      <c r="C1864" t="str">
        <f>T("디버프 마스터 42화")</f>
        <v>디버프 마스터 42화</v>
      </c>
      <c r="D1864" t="str">
        <f>T("42")</f>
        <v>42</v>
      </c>
      <c r="E1864" t="str">
        <f t="shared" si="324"/>
        <v>담화공</v>
      </c>
      <c r="H1864" t="str">
        <f t="shared" si="319"/>
        <v>스토리위즈</v>
      </c>
      <c r="I1864" t="str">
        <f t="shared" si="325"/>
        <v>디버프 마스터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247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250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>
        <v>210</v>
      </c>
      <c r="AT1864" t="str">
        <f t="shared" si="326"/>
        <v>9791137602663</v>
      </c>
      <c r="AV1864" t="str">
        <f t="shared" si="327"/>
        <v>판타지 웹소설 &gt; 퓨전 판타지</v>
      </c>
    </row>
    <row r="1865" spans="1:48" x14ac:dyDescent="0.4">
      <c r="A1865">
        <v>2313012849</v>
      </c>
      <c r="B1865">
        <v>2313012891</v>
      </c>
      <c r="C1865" t="str">
        <f>T("디버프 마스터 43화")</f>
        <v>디버프 마스터 43화</v>
      </c>
      <c r="D1865" t="str">
        <f>T("43")</f>
        <v>43</v>
      </c>
      <c r="E1865" t="str">
        <f t="shared" si="324"/>
        <v>담화공</v>
      </c>
      <c r="H1865" t="str">
        <f t="shared" si="319"/>
        <v>스토리위즈</v>
      </c>
      <c r="I1865" t="str">
        <f t="shared" si="325"/>
        <v>디버프 마스터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247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250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si="326"/>
        <v>9791137602663</v>
      </c>
      <c r="AV1865" t="str">
        <f t="shared" si="327"/>
        <v>판타지 웹소설 &gt; 퓨전 판타지</v>
      </c>
    </row>
    <row r="1866" spans="1:48" x14ac:dyDescent="0.4">
      <c r="A1866">
        <v>2313012849</v>
      </c>
      <c r="B1866">
        <v>2313012892</v>
      </c>
      <c r="C1866" t="str">
        <f>T("디버프 마스터 44화")</f>
        <v>디버프 마스터 44화</v>
      </c>
      <c r="D1866" t="str">
        <f>T("44")</f>
        <v>44</v>
      </c>
      <c r="E1866" t="str">
        <f t="shared" si="324"/>
        <v>담화공</v>
      </c>
      <c r="H1866" t="str">
        <f t="shared" si="319"/>
        <v>스토리위즈</v>
      </c>
      <c r="I1866" t="str">
        <f t="shared" si="325"/>
        <v>디버프 마스터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247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250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326"/>
        <v>9791137602663</v>
      </c>
      <c r="AV1866" t="str">
        <f t="shared" si="327"/>
        <v>판타지 웹소설 &gt; 퓨전 판타지</v>
      </c>
    </row>
    <row r="1867" spans="1:48" x14ac:dyDescent="0.4">
      <c r="A1867">
        <v>2313012849</v>
      </c>
      <c r="B1867">
        <v>2313012893</v>
      </c>
      <c r="C1867" t="str">
        <f>T("디버프 마스터 45화")</f>
        <v>디버프 마스터 45화</v>
      </c>
      <c r="D1867" t="str">
        <f>T("45")</f>
        <v>45</v>
      </c>
      <c r="E1867" t="str">
        <f t="shared" si="324"/>
        <v>담화공</v>
      </c>
      <c r="H1867" t="str">
        <f t="shared" si="319"/>
        <v>스토리위즈</v>
      </c>
      <c r="I1867" t="str">
        <f t="shared" si="325"/>
        <v>디버프 마스터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248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251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>
        <v>210</v>
      </c>
      <c r="AT1867" t="str">
        <f t="shared" si="326"/>
        <v>9791137602663</v>
      </c>
      <c r="AV1867" t="str">
        <f t="shared" si="327"/>
        <v>판타지 웹소설 &gt; 퓨전 판타지</v>
      </c>
    </row>
    <row r="1868" spans="1:48" x14ac:dyDescent="0.4">
      <c r="A1868">
        <v>2313012849</v>
      </c>
      <c r="B1868">
        <v>2313012894</v>
      </c>
      <c r="C1868" t="str">
        <f>T("디버프 마스터 46화")</f>
        <v>디버프 마스터 46화</v>
      </c>
      <c r="D1868" t="str">
        <f>T("46")</f>
        <v>46</v>
      </c>
      <c r="E1868" t="str">
        <f t="shared" si="324"/>
        <v>담화공</v>
      </c>
      <c r="H1868" t="str">
        <f t="shared" si="319"/>
        <v>스토리위즈</v>
      </c>
      <c r="I1868" t="str">
        <f t="shared" si="325"/>
        <v>디버프 마스터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249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252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>
        <v>210</v>
      </c>
      <c r="AT1868" t="str">
        <f t="shared" si="326"/>
        <v>9791137602663</v>
      </c>
      <c r="AV1868" t="str">
        <f t="shared" si="327"/>
        <v>판타지 웹소설 &gt; 퓨전 판타지</v>
      </c>
    </row>
    <row r="1869" spans="1:48" x14ac:dyDescent="0.4">
      <c r="A1869">
        <v>2313012849</v>
      </c>
      <c r="B1869">
        <v>2313012897</v>
      </c>
      <c r="C1869" t="str">
        <f>T("디버프 마스터 49화")</f>
        <v>디버프 마스터 49화</v>
      </c>
      <c r="D1869" t="str">
        <f>T("49")</f>
        <v>49</v>
      </c>
      <c r="E1869" t="str">
        <f t="shared" si="324"/>
        <v>담화공</v>
      </c>
      <c r="H1869" t="str">
        <f t="shared" si="319"/>
        <v>스토리위즈</v>
      </c>
      <c r="I1869" t="str">
        <f t="shared" si="325"/>
        <v>디버프 마스터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247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250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>
        <v>210</v>
      </c>
      <c r="AT1869" t="str">
        <f t="shared" si="326"/>
        <v>9791137602663</v>
      </c>
      <c r="AV1869" t="str">
        <f t="shared" si="327"/>
        <v>판타지 웹소설 &gt; 퓨전 판타지</v>
      </c>
    </row>
    <row r="1870" spans="1:48" x14ac:dyDescent="0.4">
      <c r="A1870">
        <v>2313012849</v>
      </c>
      <c r="B1870">
        <v>2313012898</v>
      </c>
      <c r="C1870" t="str">
        <f>T("디버프 마스터 50화")</f>
        <v>디버프 마스터 50화</v>
      </c>
      <c r="D1870" t="str">
        <f>T("50")</f>
        <v>50</v>
      </c>
      <c r="E1870" t="str">
        <f t="shared" si="324"/>
        <v>담화공</v>
      </c>
      <c r="H1870" t="str">
        <f t="shared" si="319"/>
        <v>스토리위즈</v>
      </c>
      <c r="I1870" t="str">
        <f t="shared" si="325"/>
        <v>디버프 마스터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252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255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>
        <v>210</v>
      </c>
      <c r="AT1870" t="str">
        <f t="shared" si="326"/>
        <v>9791137602663</v>
      </c>
      <c r="AV1870" t="str">
        <f t="shared" si="327"/>
        <v>판타지 웹소설 &gt; 퓨전 판타지</v>
      </c>
    </row>
    <row r="1871" spans="1:48" x14ac:dyDescent="0.4">
      <c r="A1871">
        <v>2313012849</v>
      </c>
      <c r="B1871">
        <v>2313013102</v>
      </c>
      <c r="C1871" t="str">
        <f>T("디버프 마스터 254화")</f>
        <v>디버프 마스터 254화</v>
      </c>
      <c r="D1871" t="str">
        <f>T("254")</f>
        <v>254</v>
      </c>
      <c r="E1871" t="str">
        <f t="shared" si="324"/>
        <v>담화공</v>
      </c>
      <c r="H1871" t="str">
        <f t="shared" si="319"/>
        <v>스토리위즈</v>
      </c>
      <c r="I1871" t="str">
        <f t="shared" si="325"/>
        <v>디버프 마스터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>
        <v>210</v>
      </c>
      <c r="AT1871" t="str">
        <f t="shared" si="326"/>
        <v>9791137602663</v>
      </c>
      <c r="AV1871" t="str">
        <f t="shared" si="327"/>
        <v>판타지 웹소설 &gt; 퓨전 판타지</v>
      </c>
    </row>
    <row r="1872" spans="1:48" x14ac:dyDescent="0.4">
      <c r="A1872">
        <v>2313012849</v>
      </c>
      <c r="B1872">
        <v>2313013103</v>
      </c>
      <c r="C1872" t="str">
        <f>T("디버프 마스터 255화")</f>
        <v>디버프 마스터 255화</v>
      </c>
      <c r="D1872" t="str">
        <f>T("255")</f>
        <v>255</v>
      </c>
      <c r="E1872" t="str">
        <f t="shared" si="324"/>
        <v>담화공</v>
      </c>
      <c r="H1872" t="str">
        <f t="shared" si="319"/>
        <v>스토리위즈</v>
      </c>
      <c r="I1872" t="str">
        <f t="shared" si="325"/>
        <v>디버프 마스터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>
        <v>210</v>
      </c>
      <c r="AT1872" t="str">
        <f t="shared" si="326"/>
        <v>9791137602663</v>
      </c>
      <c r="AV1872" t="str">
        <f t="shared" si="327"/>
        <v>판타지 웹소설 &gt; 퓨전 판타지</v>
      </c>
    </row>
    <row r="1873" spans="1:48" x14ac:dyDescent="0.4">
      <c r="A1873">
        <v>2313012849</v>
      </c>
      <c r="B1873">
        <v>2313013104</v>
      </c>
      <c r="C1873" t="str">
        <f>T("디버프 마스터 256화")</f>
        <v>디버프 마스터 256화</v>
      </c>
      <c r="D1873" t="str">
        <f>T("256")</f>
        <v>256</v>
      </c>
      <c r="E1873" t="str">
        <f t="shared" si="324"/>
        <v>담화공</v>
      </c>
      <c r="H1873" t="str">
        <f t="shared" ref="H1873:H1936" si="328">T("스토리위즈")</f>
        <v>스토리위즈</v>
      </c>
      <c r="I1873" t="str">
        <f t="shared" si="325"/>
        <v>디버프 마스터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>
        <v>210</v>
      </c>
      <c r="AT1873" t="str">
        <f t="shared" si="326"/>
        <v>9791137602663</v>
      </c>
      <c r="AV1873" t="str">
        <f t="shared" si="327"/>
        <v>판타지 웹소설 &gt; 퓨전 판타지</v>
      </c>
    </row>
    <row r="1874" spans="1:48" x14ac:dyDescent="0.4">
      <c r="A1874">
        <v>2313012849</v>
      </c>
      <c r="B1874">
        <v>2313013105</v>
      </c>
      <c r="C1874" t="str">
        <f>T("디버프 마스터 257화")</f>
        <v>디버프 마스터 257화</v>
      </c>
      <c r="D1874" t="str">
        <f>T("257")</f>
        <v>257</v>
      </c>
      <c r="E1874" t="str">
        <f t="shared" si="324"/>
        <v>담화공</v>
      </c>
      <c r="H1874" t="str">
        <f t="shared" si="328"/>
        <v>스토리위즈</v>
      </c>
      <c r="I1874" t="str">
        <f t="shared" si="325"/>
        <v>디버프 마스터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>
        <v>210</v>
      </c>
      <c r="AT1874" t="str">
        <f t="shared" si="326"/>
        <v>9791137602663</v>
      </c>
      <c r="AV1874" t="str">
        <f t="shared" si="327"/>
        <v>판타지 웹소설 &gt; 퓨전 판타지</v>
      </c>
    </row>
    <row r="1875" spans="1:48" x14ac:dyDescent="0.4">
      <c r="A1875">
        <v>2313012849</v>
      </c>
      <c r="B1875">
        <v>2313013106</v>
      </c>
      <c r="C1875" t="str">
        <f>T("디버프 마스터 258화")</f>
        <v>디버프 마스터 258화</v>
      </c>
      <c r="D1875" t="str">
        <f>T("258")</f>
        <v>258</v>
      </c>
      <c r="E1875" t="str">
        <f t="shared" si="324"/>
        <v>담화공</v>
      </c>
      <c r="H1875" t="str">
        <f t="shared" si="328"/>
        <v>스토리위즈</v>
      </c>
      <c r="I1875" t="str">
        <f t="shared" si="325"/>
        <v>디버프 마스터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>
        <v>210</v>
      </c>
      <c r="AT1875" t="str">
        <f t="shared" si="326"/>
        <v>9791137602663</v>
      </c>
      <c r="AV1875" t="str">
        <f t="shared" si="327"/>
        <v>판타지 웹소설 &gt; 퓨전 판타지</v>
      </c>
    </row>
    <row r="1876" spans="1:48" x14ac:dyDescent="0.4">
      <c r="A1876">
        <v>2313012849</v>
      </c>
      <c r="B1876">
        <v>2313013107</v>
      </c>
      <c r="C1876" t="str">
        <f>T("디버프 마스터 259화")</f>
        <v>디버프 마스터 259화</v>
      </c>
      <c r="D1876" t="str">
        <f>T("259")</f>
        <v>259</v>
      </c>
      <c r="E1876" t="str">
        <f t="shared" si="324"/>
        <v>담화공</v>
      </c>
      <c r="H1876" t="str">
        <f t="shared" si="328"/>
        <v>스토리위즈</v>
      </c>
      <c r="I1876" t="str">
        <f t="shared" si="325"/>
        <v>디버프 마스터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>
        <v>210</v>
      </c>
      <c r="AT1876" t="str">
        <f t="shared" si="326"/>
        <v>9791137602663</v>
      </c>
      <c r="AV1876" t="str">
        <f t="shared" si="327"/>
        <v>판타지 웹소설 &gt; 퓨전 판타지</v>
      </c>
    </row>
    <row r="1877" spans="1:48" x14ac:dyDescent="0.4">
      <c r="A1877">
        <v>2313012849</v>
      </c>
      <c r="B1877">
        <v>2313013108</v>
      </c>
      <c r="C1877" t="str">
        <f>T("디버프 마스터 260화")</f>
        <v>디버프 마스터 260화</v>
      </c>
      <c r="D1877" t="str">
        <f>T("260")</f>
        <v>260</v>
      </c>
      <c r="E1877" t="str">
        <f t="shared" si="324"/>
        <v>담화공</v>
      </c>
      <c r="H1877" t="str">
        <f t="shared" si="328"/>
        <v>스토리위즈</v>
      </c>
      <c r="I1877" t="str">
        <f t="shared" si="325"/>
        <v>디버프 마스터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>
        <v>210</v>
      </c>
      <c r="AT1877" t="str">
        <f t="shared" si="326"/>
        <v>9791137602663</v>
      </c>
      <c r="AV1877" t="str">
        <f t="shared" si="327"/>
        <v>판타지 웹소설 &gt; 퓨전 판타지</v>
      </c>
    </row>
    <row r="1878" spans="1:48" x14ac:dyDescent="0.4">
      <c r="A1878">
        <v>2313012849</v>
      </c>
      <c r="B1878">
        <v>2313013109</v>
      </c>
      <c r="C1878" t="str">
        <f>T("디버프 마스터 261화")</f>
        <v>디버프 마스터 261화</v>
      </c>
      <c r="D1878" t="str">
        <f>T("261")</f>
        <v>261</v>
      </c>
      <c r="E1878" t="str">
        <f t="shared" si="324"/>
        <v>담화공</v>
      </c>
      <c r="H1878" t="str">
        <f t="shared" si="328"/>
        <v>스토리위즈</v>
      </c>
      <c r="I1878" t="str">
        <f t="shared" si="325"/>
        <v>디버프 마스터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>
        <v>210</v>
      </c>
      <c r="AT1878" t="str">
        <f t="shared" si="326"/>
        <v>9791137602663</v>
      </c>
      <c r="AV1878" t="str">
        <f t="shared" si="327"/>
        <v>판타지 웹소설 &gt; 퓨전 판타지</v>
      </c>
    </row>
    <row r="1879" spans="1:48" x14ac:dyDescent="0.4">
      <c r="A1879">
        <v>2313012849</v>
      </c>
      <c r="B1879">
        <v>2313013110</v>
      </c>
      <c r="C1879" t="str">
        <f>T("디버프 마스터 262화")</f>
        <v>디버프 마스터 262화</v>
      </c>
      <c r="D1879" t="str">
        <f>T("262")</f>
        <v>262</v>
      </c>
      <c r="E1879" t="str">
        <f t="shared" si="324"/>
        <v>담화공</v>
      </c>
      <c r="H1879" t="str">
        <f t="shared" si="328"/>
        <v>스토리위즈</v>
      </c>
      <c r="I1879" t="str">
        <f t="shared" si="325"/>
        <v>디버프 마스터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>
        <v>210</v>
      </c>
      <c r="AT1879" t="str">
        <f t="shared" si="326"/>
        <v>9791137602663</v>
      </c>
      <c r="AV1879" t="str">
        <f t="shared" si="327"/>
        <v>판타지 웹소설 &gt; 퓨전 판타지</v>
      </c>
    </row>
    <row r="1880" spans="1:48" x14ac:dyDescent="0.4">
      <c r="A1880">
        <v>2313012849</v>
      </c>
      <c r="B1880">
        <v>2313013111</v>
      </c>
      <c r="C1880" t="str">
        <f>T("디버프 마스터 263화")</f>
        <v>디버프 마스터 263화</v>
      </c>
      <c r="D1880" t="str">
        <f>T("263")</f>
        <v>263</v>
      </c>
      <c r="E1880" t="str">
        <f t="shared" si="324"/>
        <v>담화공</v>
      </c>
      <c r="H1880" t="str">
        <f t="shared" si="328"/>
        <v>스토리위즈</v>
      </c>
      <c r="I1880" t="str">
        <f t="shared" si="325"/>
        <v>디버프 마스터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>
        <v>210</v>
      </c>
      <c r="AT1880" t="str">
        <f t="shared" si="326"/>
        <v>9791137602663</v>
      </c>
      <c r="AV1880" t="str">
        <f t="shared" si="327"/>
        <v>판타지 웹소설 &gt; 퓨전 판타지</v>
      </c>
    </row>
    <row r="1881" spans="1:48" x14ac:dyDescent="0.4">
      <c r="A1881">
        <v>2313012849</v>
      </c>
      <c r="B1881">
        <v>2313013113</v>
      </c>
      <c r="C1881" t="str">
        <f>T("디버프 마스터 265화")</f>
        <v>디버프 마스터 265화</v>
      </c>
      <c r="D1881" t="str">
        <f>T("265")</f>
        <v>265</v>
      </c>
      <c r="E1881" t="str">
        <f t="shared" si="324"/>
        <v>담화공</v>
      </c>
      <c r="H1881" t="str">
        <f t="shared" si="328"/>
        <v>스토리위즈</v>
      </c>
      <c r="I1881" t="str">
        <f t="shared" si="325"/>
        <v>디버프 마스터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>
        <v>210</v>
      </c>
      <c r="AT1881" t="str">
        <f t="shared" si="326"/>
        <v>9791137602663</v>
      </c>
      <c r="AV1881" t="str">
        <f t="shared" si="327"/>
        <v>판타지 웹소설 &gt; 퓨전 판타지</v>
      </c>
    </row>
    <row r="1882" spans="1:48" x14ac:dyDescent="0.4">
      <c r="A1882">
        <v>2313012849</v>
      </c>
      <c r="B1882">
        <v>2313013114</v>
      </c>
      <c r="C1882" t="str">
        <f>T("디버프 마스터 266화")</f>
        <v>디버프 마스터 266화</v>
      </c>
      <c r="D1882" t="str">
        <f>T("266")</f>
        <v>266</v>
      </c>
      <c r="E1882" t="str">
        <f t="shared" si="324"/>
        <v>담화공</v>
      </c>
      <c r="H1882" t="str">
        <f t="shared" si="328"/>
        <v>스토리위즈</v>
      </c>
      <c r="I1882" t="str">
        <f t="shared" si="325"/>
        <v>디버프 마스터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>
        <v>210</v>
      </c>
      <c r="AT1882" t="str">
        <f t="shared" si="326"/>
        <v>9791137602663</v>
      </c>
      <c r="AV1882" t="str">
        <f t="shared" si="327"/>
        <v>판타지 웹소설 &gt; 퓨전 판타지</v>
      </c>
    </row>
    <row r="1883" spans="1:48" x14ac:dyDescent="0.4">
      <c r="A1883">
        <v>2313012849</v>
      </c>
      <c r="B1883">
        <v>2313013115</v>
      </c>
      <c r="C1883" t="str">
        <f>T("디버프 마스터 267화")</f>
        <v>디버프 마스터 267화</v>
      </c>
      <c r="D1883" t="str">
        <f>T("267")</f>
        <v>267</v>
      </c>
      <c r="E1883" t="str">
        <f t="shared" si="324"/>
        <v>담화공</v>
      </c>
      <c r="H1883" t="str">
        <f t="shared" si="328"/>
        <v>스토리위즈</v>
      </c>
      <c r="I1883" t="str">
        <f t="shared" si="325"/>
        <v>디버프 마스터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>
        <v>210</v>
      </c>
      <c r="AT1883" t="str">
        <f t="shared" si="326"/>
        <v>9791137602663</v>
      </c>
      <c r="AV1883" t="str">
        <f t="shared" si="327"/>
        <v>판타지 웹소설 &gt; 퓨전 판타지</v>
      </c>
    </row>
    <row r="1884" spans="1:48" x14ac:dyDescent="0.4">
      <c r="A1884">
        <v>2313012849</v>
      </c>
      <c r="B1884">
        <v>2313013116</v>
      </c>
      <c r="C1884" t="str">
        <f>T("디버프 마스터 268화")</f>
        <v>디버프 마스터 268화</v>
      </c>
      <c r="D1884" t="str">
        <f>T("268")</f>
        <v>268</v>
      </c>
      <c r="E1884" t="str">
        <f t="shared" si="324"/>
        <v>담화공</v>
      </c>
      <c r="H1884" t="str">
        <f t="shared" si="328"/>
        <v>스토리위즈</v>
      </c>
      <c r="I1884" t="str">
        <f t="shared" si="325"/>
        <v>디버프 마스터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>
        <v>210</v>
      </c>
      <c r="AT1884" t="str">
        <f t="shared" si="326"/>
        <v>9791137602663</v>
      </c>
      <c r="AV1884" t="str">
        <f t="shared" si="327"/>
        <v>판타지 웹소설 &gt; 퓨전 판타지</v>
      </c>
    </row>
    <row r="1885" spans="1:48" x14ac:dyDescent="0.4">
      <c r="A1885">
        <v>2313012849</v>
      </c>
      <c r="B1885">
        <v>2313013117</v>
      </c>
      <c r="C1885" t="str">
        <f>T("디버프 마스터 269화")</f>
        <v>디버프 마스터 269화</v>
      </c>
      <c r="D1885" t="str">
        <f>T("269")</f>
        <v>269</v>
      </c>
      <c r="E1885" t="str">
        <f t="shared" si="324"/>
        <v>담화공</v>
      </c>
      <c r="H1885" t="str">
        <f t="shared" si="328"/>
        <v>스토리위즈</v>
      </c>
      <c r="I1885" t="str">
        <f t="shared" si="325"/>
        <v>디버프 마스터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0</v>
      </c>
      <c r="AJ1885">
        <v>0</v>
      </c>
      <c r="AK1885">
        <v>300</v>
      </c>
      <c r="AL1885">
        <v>0</v>
      </c>
      <c r="AM1885">
        <v>0</v>
      </c>
      <c r="AN1885">
        <v>0</v>
      </c>
      <c r="AO1885">
        <v>0</v>
      </c>
      <c r="AP1885">
        <v>210</v>
      </c>
      <c r="AT1885" t="str">
        <f t="shared" si="326"/>
        <v>9791137602663</v>
      </c>
      <c r="AV1885" t="str">
        <f t="shared" si="327"/>
        <v>판타지 웹소설 &gt; 퓨전 판타지</v>
      </c>
    </row>
    <row r="1886" spans="1:48" x14ac:dyDescent="0.4">
      <c r="A1886">
        <v>2313012849</v>
      </c>
      <c r="B1886">
        <v>2313013118</v>
      </c>
      <c r="C1886" t="str">
        <f>T("디버프 마스터 270화")</f>
        <v>디버프 마스터 270화</v>
      </c>
      <c r="D1886" t="str">
        <f>T("270")</f>
        <v>270</v>
      </c>
      <c r="E1886" t="str">
        <f t="shared" si="324"/>
        <v>담화공</v>
      </c>
      <c r="H1886" t="str">
        <f t="shared" si="328"/>
        <v>스토리위즈</v>
      </c>
      <c r="I1886" t="str">
        <f t="shared" si="325"/>
        <v>디버프 마스터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0</v>
      </c>
      <c r="AJ1886">
        <v>0</v>
      </c>
      <c r="AK1886">
        <v>300</v>
      </c>
      <c r="AL1886">
        <v>0</v>
      </c>
      <c r="AM1886">
        <v>0</v>
      </c>
      <c r="AN1886">
        <v>0</v>
      </c>
      <c r="AO1886">
        <v>0</v>
      </c>
      <c r="AP1886">
        <v>210</v>
      </c>
      <c r="AT1886" t="str">
        <f t="shared" si="326"/>
        <v>9791137602663</v>
      </c>
      <c r="AV1886" t="str">
        <f t="shared" si="327"/>
        <v>판타지 웹소설 &gt; 퓨전 판타지</v>
      </c>
    </row>
    <row r="1887" spans="1:48" x14ac:dyDescent="0.4">
      <c r="A1887">
        <v>2313012849</v>
      </c>
      <c r="B1887">
        <v>2313013119</v>
      </c>
      <c r="C1887" t="str">
        <f>T("디버프 마스터 271화")</f>
        <v>디버프 마스터 271화</v>
      </c>
      <c r="D1887" t="str">
        <f>T("271")</f>
        <v>271</v>
      </c>
      <c r="E1887" t="str">
        <f t="shared" si="324"/>
        <v>담화공</v>
      </c>
      <c r="H1887" t="str">
        <f t="shared" si="328"/>
        <v>스토리위즈</v>
      </c>
      <c r="I1887" t="str">
        <f t="shared" si="325"/>
        <v>디버프 마스터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3</v>
      </c>
      <c r="AI1887">
        <v>0</v>
      </c>
      <c r="AJ1887">
        <v>0</v>
      </c>
      <c r="AK1887">
        <v>300</v>
      </c>
      <c r="AL1887">
        <v>0</v>
      </c>
      <c r="AM1887">
        <v>0</v>
      </c>
      <c r="AN1887">
        <v>0</v>
      </c>
      <c r="AO1887">
        <v>0</v>
      </c>
      <c r="AP1887">
        <v>210</v>
      </c>
      <c r="AT1887" t="str">
        <f t="shared" si="326"/>
        <v>9791137602663</v>
      </c>
      <c r="AV1887" t="str">
        <f t="shared" si="327"/>
        <v>판타지 웹소설 &gt; 퓨전 판타지</v>
      </c>
    </row>
    <row r="1888" spans="1:48" x14ac:dyDescent="0.4">
      <c r="A1888">
        <v>2313012849</v>
      </c>
      <c r="B1888">
        <v>2313013120</v>
      </c>
      <c r="C1888" t="str">
        <f>T("디버프 마스터 272화")</f>
        <v>디버프 마스터 272화</v>
      </c>
      <c r="D1888" t="str">
        <f>T("272")</f>
        <v>272</v>
      </c>
      <c r="E1888" t="str">
        <f t="shared" si="324"/>
        <v>담화공</v>
      </c>
      <c r="H1888" t="str">
        <f t="shared" si="328"/>
        <v>스토리위즈</v>
      </c>
      <c r="I1888" t="str">
        <f t="shared" si="325"/>
        <v>디버프 마스터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3</v>
      </c>
      <c r="AI1888">
        <v>0</v>
      </c>
      <c r="AJ1888">
        <v>0</v>
      </c>
      <c r="AK1888">
        <v>300</v>
      </c>
      <c r="AL1888">
        <v>0</v>
      </c>
      <c r="AM1888">
        <v>0</v>
      </c>
      <c r="AN1888">
        <v>0</v>
      </c>
      <c r="AO1888">
        <v>0</v>
      </c>
      <c r="AP1888">
        <v>210</v>
      </c>
      <c r="AT1888" t="str">
        <f t="shared" si="326"/>
        <v>9791137602663</v>
      </c>
      <c r="AV1888" t="str">
        <f t="shared" si="327"/>
        <v>판타지 웹소설 &gt; 퓨전 판타지</v>
      </c>
    </row>
    <row r="1889" spans="1:48" x14ac:dyDescent="0.4">
      <c r="A1889">
        <v>2313012849</v>
      </c>
      <c r="B1889">
        <v>2313013121</v>
      </c>
      <c r="C1889" t="str">
        <f>T("디버프 마스터 273화")</f>
        <v>디버프 마스터 273화</v>
      </c>
      <c r="D1889" t="str">
        <f>T("273")</f>
        <v>273</v>
      </c>
      <c r="E1889" t="str">
        <f t="shared" si="324"/>
        <v>담화공</v>
      </c>
      <c r="H1889" t="str">
        <f t="shared" si="328"/>
        <v>스토리위즈</v>
      </c>
      <c r="I1889" t="str">
        <f t="shared" si="325"/>
        <v>디버프 마스터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3</v>
      </c>
      <c r="AI1889">
        <v>0</v>
      </c>
      <c r="AJ1889">
        <v>0</v>
      </c>
      <c r="AK1889">
        <v>300</v>
      </c>
      <c r="AL1889">
        <v>0</v>
      </c>
      <c r="AM1889">
        <v>0</v>
      </c>
      <c r="AN1889">
        <v>0</v>
      </c>
      <c r="AO1889">
        <v>0</v>
      </c>
      <c r="AP1889">
        <v>210</v>
      </c>
      <c r="AT1889" t="str">
        <f t="shared" si="326"/>
        <v>9791137602663</v>
      </c>
      <c r="AV1889" t="str">
        <f t="shared" si="327"/>
        <v>판타지 웹소설 &gt; 퓨전 판타지</v>
      </c>
    </row>
    <row r="1890" spans="1:48" x14ac:dyDescent="0.4">
      <c r="A1890">
        <v>2313012849</v>
      </c>
      <c r="B1890">
        <v>2313013122</v>
      </c>
      <c r="C1890" t="str">
        <f>T("디버프 마스터 274화")</f>
        <v>디버프 마스터 274화</v>
      </c>
      <c r="D1890" t="str">
        <f>T("274")</f>
        <v>274</v>
      </c>
      <c r="E1890" t="str">
        <f t="shared" si="324"/>
        <v>담화공</v>
      </c>
      <c r="H1890" t="str">
        <f t="shared" si="328"/>
        <v>스토리위즈</v>
      </c>
      <c r="I1890" t="str">
        <f t="shared" si="325"/>
        <v>디버프 마스터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3</v>
      </c>
      <c r="AI1890">
        <v>0</v>
      </c>
      <c r="AJ1890">
        <v>0</v>
      </c>
      <c r="AK1890">
        <v>300</v>
      </c>
      <c r="AL1890">
        <v>0</v>
      </c>
      <c r="AM1890">
        <v>0</v>
      </c>
      <c r="AN1890">
        <v>0</v>
      </c>
      <c r="AO1890">
        <v>0</v>
      </c>
      <c r="AP1890">
        <v>210</v>
      </c>
      <c r="AT1890" t="str">
        <f t="shared" si="326"/>
        <v>9791137602663</v>
      </c>
      <c r="AV1890" t="str">
        <f t="shared" si="327"/>
        <v>판타지 웹소설 &gt; 퓨전 판타지</v>
      </c>
    </row>
    <row r="1891" spans="1:48" x14ac:dyDescent="0.4">
      <c r="A1891">
        <v>2313012849</v>
      </c>
      <c r="B1891">
        <v>2313013123</v>
      </c>
      <c r="C1891" t="str">
        <f>T("디버프 마스터 275화")</f>
        <v>디버프 마스터 275화</v>
      </c>
      <c r="D1891" t="str">
        <f>T("275")</f>
        <v>275</v>
      </c>
      <c r="E1891" t="str">
        <f t="shared" si="324"/>
        <v>담화공</v>
      </c>
      <c r="H1891" t="str">
        <f t="shared" si="328"/>
        <v>스토리위즈</v>
      </c>
      <c r="I1891" t="str">
        <f t="shared" si="325"/>
        <v>디버프 마스터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3</v>
      </c>
      <c r="AI1891">
        <v>0</v>
      </c>
      <c r="AJ1891">
        <v>0</v>
      </c>
      <c r="AK1891">
        <v>300</v>
      </c>
      <c r="AL1891">
        <v>0</v>
      </c>
      <c r="AM1891">
        <v>0</v>
      </c>
      <c r="AN1891">
        <v>0</v>
      </c>
      <c r="AO1891">
        <v>0</v>
      </c>
      <c r="AP1891">
        <v>210</v>
      </c>
      <c r="AT1891" t="str">
        <f t="shared" si="326"/>
        <v>9791137602663</v>
      </c>
      <c r="AV1891" t="str">
        <f t="shared" si="327"/>
        <v>판타지 웹소설 &gt; 퓨전 판타지</v>
      </c>
    </row>
    <row r="1892" spans="1:48" x14ac:dyDescent="0.4">
      <c r="A1892">
        <v>2313012849</v>
      </c>
      <c r="B1892">
        <v>2313013124</v>
      </c>
      <c r="C1892" t="str">
        <f>T("디버프 마스터 276화")</f>
        <v>디버프 마스터 276화</v>
      </c>
      <c r="D1892" t="str">
        <f>T("276")</f>
        <v>276</v>
      </c>
      <c r="E1892" t="str">
        <f t="shared" si="324"/>
        <v>담화공</v>
      </c>
      <c r="H1892" t="str">
        <f t="shared" si="328"/>
        <v>스토리위즈</v>
      </c>
      <c r="I1892" t="str">
        <f t="shared" si="325"/>
        <v>디버프 마스터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3</v>
      </c>
      <c r="AI1892">
        <v>0</v>
      </c>
      <c r="AJ1892">
        <v>0</v>
      </c>
      <c r="AK1892">
        <v>300</v>
      </c>
      <c r="AL1892">
        <v>0</v>
      </c>
      <c r="AM1892">
        <v>0</v>
      </c>
      <c r="AN1892">
        <v>0</v>
      </c>
      <c r="AO1892">
        <v>0</v>
      </c>
      <c r="AP1892">
        <v>210</v>
      </c>
      <c r="AT1892" t="str">
        <f t="shared" si="326"/>
        <v>9791137602663</v>
      </c>
      <c r="AV1892" t="str">
        <f t="shared" si="327"/>
        <v>판타지 웹소설 &gt; 퓨전 판타지</v>
      </c>
    </row>
    <row r="1893" spans="1:48" x14ac:dyDescent="0.4">
      <c r="A1893">
        <v>2313012849</v>
      </c>
      <c r="B1893">
        <v>2313013125</v>
      </c>
      <c r="C1893" t="str">
        <f>T("디버프 마스터 277화")</f>
        <v>디버프 마스터 277화</v>
      </c>
      <c r="D1893" t="str">
        <f>T("277")</f>
        <v>277</v>
      </c>
      <c r="E1893" t="str">
        <f t="shared" si="324"/>
        <v>담화공</v>
      </c>
      <c r="H1893" t="str">
        <f t="shared" si="328"/>
        <v>스토리위즈</v>
      </c>
      <c r="I1893" t="str">
        <f t="shared" si="325"/>
        <v>디버프 마스터</v>
      </c>
      <c r="J1893">
        <v>100</v>
      </c>
      <c r="K1893">
        <v>300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3</v>
      </c>
      <c r="AI1893">
        <v>0</v>
      </c>
      <c r="AJ1893">
        <v>0</v>
      </c>
      <c r="AK1893">
        <v>300</v>
      </c>
      <c r="AL1893">
        <v>0</v>
      </c>
      <c r="AM1893">
        <v>0</v>
      </c>
      <c r="AN1893">
        <v>0</v>
      </c>
      <c r="AO1893">
        <v>0</v>
      </c>
      <c r="AP1893">
        <v>210</v>
      </c>
      <c r="AT1893" t="str">
        <f t="shared" si="326"/>
        <v>9791137602663</v>
      </c>
      <c r="AV1893" t="str">
        <f t="shared" si="327"/>
        <v>판타지 웹소설 &gt; 퓨전 판타지</v>
      </c>
    </row>
    <row r="1894" spans="1:48" x14ac:dyDescent="0.4">
      <c r="A1894">
        <v>2313012849</v>
      </c>
      <c r="B1894">
        <v>2313013126</v>
      </c>
      <c r="C1894" t="str">
        <f>T("디버프 마스터 278화")</f>
        <v>디버프 마스터 278화</v>
      </c>
      <c r="D1894" t="str">
        <f>T("278")</f>
        <v>278</v>
      </c>
      <c r="E1894" t="str">
        <f t="shared" si="324"/>
        <v>담화공</v>
      </c>
      <c r="H1894" t="str">
        <f t="shared" si="328"/>
        <v>스토리위즈</v>
      </c>
      <c r="I1894" t="str">
        <f t="shared" si="325"/>
        <v>디버프 마스터</v>
      </c>
      <c r="J1894">
        <v>100</v>
      </c>
      <c r="K1894">
        <v>300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3</v>
      </c>
      <c r="AI1894">
        <v>0</v>
      </c>
      <c r="AJ1894">
        <v>0</v>
      </c>
      <c r="AK1894">
        <v>300</v>
      </c>
      <c r="AL1894">
        <v>0</v>
      </c>
      <c r="AM1894">
        <v>0</v>
      </c>
      <c r="AN1894">
        <v>0</v>
      </c>
      <c r="AO1894">
        <v>0</v>
      </c>
      <c r="AP1894">
        <v>210</v>
      </c>
      <c r="AT1894" t="str">
        <f t="shared" si="326"/>
        <v>9791137602663</v>
      </c>
      <c r="AV1894" t="str">
        <f t="shared" si="327"/>
        <v>판타지 웹소설 &gt; 퓨전 판타지</v>
      </c>
    </row>
    <row r="1895" spans="1:48" x14ac:dyDescent="0.4">
      <c r="A1895">
        <v>2313012849</v>
      </c>
      <c r="B1895">
        <v>2313013127</v>
      </c>
      <c r="C1895" t="str">
        <f>T("디버프 마스터 279화")</f>
        <v>디버프 마스터 279화</v>
      </c>
      <c r="D1895" t="str">
        <f>T("279")</f>
        <v>279</v>
      </c>
      <c r="E1895" t="str">
        <f t="shared" si="324"/>
        <v>담화공</v>
      </c>
      <c r="H1895" t="str">
        <f t="shared" si="328"/>
        <v>스토리위즈</v>
      </c>
      <c r="I1895" t="str">
        <f t="shared" si="325"/>
        <v>디버프 마스터</v>
      </c>
      <c r="J1895">
        <v>100</v>
      </c>
      <c r="K1895">
        <v>300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3</v>
      </c>
      <c r="AI1895">
        <v>0</v>
      </c>
      <c r="AJ1895">
        <v>0</v>
      </c>
      <c r="AK1895">
        <v>300</v>
      </c>
      <c r="AL1895">
        <v>0</v>
      </c>
      <c r="AM1895">
        <v>0</v>
      </c>
      <c r="AN1895">
        <v>0</v>
      </c>
      <c r="AO1895">
        <v>0</v>
      </c>
      <c r="AP1895">
        <v>210</v>
      </c>
      <c r="AT1895" t="str">
        <f t="shared" si="326"/>
        <v>9791137602663</v>
      </c>
      <c r="AV1895" t="str">
        <f t="shared" si="327"/>
        <v>판타지 웹소설 &gt; 퓨전 판타지</v>
      </c>
    </row>
    <row r="1896" spans="1:48" x14ac:dyDescent="0.4">
      <c r="A1896">
        <v>2313012849</v>
      </c>
      <c r="B1896">
        <v>2313013128</v>
      </c>
      <c r="C1896" t="str">
        <f>T("디버프 마스터 280화")</f>
        <v>디버프 마스터 280화</v>
      </c>
      <c r="D1896" t="str">
        <f>T("280")</f>
        <v>280</v>
      </c>
      <c r="E1896" t="str">
        <f t="shared" si="324"/>
        <v>담화공</v>
      </c>
      <c r="H1896" t="str">
        <f t="shared" si="328"/>
        <v>스토리위즈</v>
      </c>
      <c r="I1896" t="str">
        <f t="shared" si="325"/>
        <v>디버프 마스터</v>
      </c>
      <c r="J1896">
        <v>100</v>
      </c>
      <c r="K1896">
        <v>300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3</v>
      </c>
      <c r="AI1896">
        <v>0</v>
      </c>
      <c r="AJ1896">
        <v>0</v>
      </c>
      <c r="AK1896">
        <v>300</v>
      </c>
      <c r="AL1896">
        <v>0</v>
      </c>
      <c r="AM1896">
        <v>0</v>
      </c>
      <c r="AN1896">
        <v>0</v>
      </c>
      <c r="AO1896">
        <v>0</v>
      </c>
      <c r="AP1896">
        <v>210</v>
      </c>
      <c r="AT1896" t="str">
        <f t="shared" si="326"/>
        <v>9791137602663</v>
      </c>
      <c r="AV1896" t="str">
        <f t="shared" si="327"/>
        <v>판타지 웹소설 &gt; 퓨전 판타지</v>
      </c>
    </row>
    <row r="1897" spans="1:48" x14ac:dyDescent="0.4">
      <c r="A1897">
        <v>2313012849</v>
      </c>
      <c r="B1897">
        <v>2313013129</v>
      </c>
      <c r="C1897" t="str">
        <f>T("디버프 마스터 281화")</f>
        <v>디버프 마스터 281화</v>
      </c>
      <c r="D1897" t="str">
        <f>T("281")</f>
        <v>281</v>
      </c>
      <c r="E1897" t="str">
        <f t="shared" si="324"/>
        <v>담화공</v>
      </c>
      <c r="H1897" t="str">
        <f t="shared" si="328"/>
        <v>스토리위즈</v>
      </c>
      <c r="I1897" t="str">
        <f t="shared" si="325"/>
        <v>디버프 마스터</v>
      </c>
      <c r="J1897">
        <v>100</v>
      </c>
      <c r="K1897">
        <v>300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3</v>
      </c>
      <c r="AI1897">
        <v>0</v>
      </c>
      <c r="AJ1897">
        <v>0</v>
      </c>
      <c r="AK1897">
        <v>300</v>
      </c>
      <c r="AL1897">
        <v>0</v>
      </c>
      <c r="AM1897">
        <v>0</v>
      </c>
      <c r="AN1897">
        <v>0</v>
      </c>
      <c r="AO1897">
        <v>0</v>
      </c>
      <c r="AP1897">
        <v>210</v>
      </c>
      <c r="AT1897" t="str">
        <f t="shared" si="326"/>
        <v>9791137602663</v>
      </c>
      <c r="AV1897" t="str">
        <f t="shared" si="327"/>
        <v>판타지 웹소설 &gt; 퓨전 판타지</v>
      </c>
    </row>
    <row r="1898" spans="1:48" x14ac:dyDescent="0.4">
      <c r="A1898">
        <v>2313012849</v>
      </c>
      <c r="B1898">
        <v>2313013130</v>
      </c>
      <c r="C1898" t="str">
        <f>T("디버프 마스터 282화")</f>
        <v>디버프 마스터 282화</v>
      </c>
      <c r="D1898" t="str">
        <f>T("282")</f>
        <v>282</v>
      </c>
      <c r="E1898" t="str">
        <f t="shared" si="324"/>
        <v>담화공</v>
      </c>
      <c r="H1898" t="str">
        <f t="shared" si="328"/>
        <v>스토리위즈</v>
      </c>
      <c r="I1898" t="str">
        <f t="shared" si="325"/>
        <v>디버프 마스터</v>
      </c>
      <c r="J1898">
        <v>100</v>
      </c>
      <c r="K1898">
        <v>300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3</v>
      </c>
      <c r="AI1898">
        <v>0</v>
      </c>
      <c r="AJ1898">
        <v>0</v>
      </c>
      <c r="AK1898">
        <v>300</v>
      </c>
      <c r="AL1898">
        <v>0</v>
      </c>
      <c r="AM1898">
        <v>0</v>
      </c>
      <c r="AN1898">
        <v>0</v>
      </c>
      <c r="AO1898">
        <v>0</v>
      </c>
      <c r="AP1898">
        <v>210</v>
      </c>
      <c r="AT1898" t="str">
        <f t="shared" si="326"/>
        <v>9791137602663</v>
      </c>
      <c r="AV1898" t="str">
        <f t="shared" si="327"/>
        <v>판타지 웹소설 &gt; 퓨전 판타지</v>
      </c>
    </row>
    <row r="1899" spans="1:48" x14ac:dyDescent="0.4">
      <c r="A1899">
        <v>2313012849</v>
      </c>
      <c r="B1899">
        <v>2313013131</v>
      </c>
      <c r="C1899" t="str">
        <f>T("디버프 마스터 283화")</f>
        <v>디버프 마스터 283화</v>
      </c>
      <c r="D1899" t="str">
        <f>T("283")</f>
        <v>283</v>
      </c>
      <c r="E1899" t="str">
        <f t="shared" si="324"/>
        <v>담화공</v>
      </c>
      <c r="H1899" t="str">
        <f t="shared" si="328"/>
        <v>스토리위즈</v>
      </c>
      <c r="I1899" t="str">
        <f t="shared" si="325"/>
        <v>디버프 마스터</v>
      </c>
      <c r="J1899">
        <v>100</v>
      </c>
      <c r="K1899">
        <v>300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3</v>
      </c>
      <c r="AI1899">
        <v>0</v>
      </c>
      <c r="AJ1899">
        <v>0</v>
      </c>
      <c r="AK1899">
        <v>300</v>
      </c>
      <c r="AL1899">
        <v>0</v>
      </c>
      <c r="AM1899">
        <v>0</v>
      </c>
      <c r="AN1899">
        <v>0</v>
      </c>
      <c r="AO1899">
        <v>0</v>
      </c>
      <c r="AP1899">
        <v>210</v>
      </c>
      <c r="AT1899" t="str">
        <f t="shared" si="326"/>
        <v>9791137602663</v>
      </c>
      <c r="AV1899" t="str">
        <f t="shared" si="327"/>
        <v>판타지 웹소설 &gt; 퓨전 판타지</v>
      </c>
    </row>
    <row r="1900" spans="1:48" x14ac:dyDescent="0.4">
      <c r="A1900">
        <v>2313012849</v>
      </c>
      <c r="B1900">
        <v>2313013132</v>
      </c>
      <c r="C1900" t="str">
        <f>T("디버프 마스터 284화")</f>
        <v>디버프 마스터 284화</v>
      </c>
      <c r="D1900" t="str">
        <f>T("284")</f>
        <v>284</v>
      </c>
      <c r="E1900" t="str">
        <f t="shared" si="324"/>
        <v>담화공</v>
      </c>
      <c r="H1900" t="str">
        <f t="shared" si="328"/>
        <v>스토리위즈</v>
      </c>
      <c r="I1900" t="str">
        <f t="shared" si="325"/>
        <v>디버프 마스터</v>
      </c>
      <c r="J1900">
        <v>100</v>
      </c>
      <c r="K1900">
        <v>300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3</v>
      </c>
      <c r="AI1900">
        <v>0</v>
      </c>
      <c r="AJ1900">
        <v>0</v>
      </c>
      <c r="AK1900">
        <v>300</v>
      </c>
      <c r="AL1900">
        <v>0</v>
      </c>
      <c r="AM1900">
        <v>0</v>
      </c>
      <c r="AN1900">
        <v>0</v>
      </c>
      <c r="AO1900">
        <v>0</v>
      </c>
      <c r="AP1900">
        <v>210</v>
      </c>
      <c r="AT1900" t="str">
        <f t="shared" si="326"/>
        <v>9791137602663</v>
      </c>
      <c r="AV1900" t="str">
        <f t="shared" si="327"/>
        <v>판타지 웹소설 &gt; 퓨전 판타지</v>
      </c>
    </row>
    <row r="1901" spans="1:48" x14ac:dyDescent="0.4">
      <c r="A1901">
        <v>2313012849</v>
      </c>
      <c r="B1901">
        <v>2313013133</v>
      </c>
      <c r="C1901" t="str">
        <f>T("디버프 마스터 285화")</f>
        <v>디버프 마스터 285화</v>
      </c>
      <c r="D1901" t="str">
        <f>T("285")</f>
        <v>285</v>
      </c>
      <c r="E1901" t="str">
        <f t="shared" si="324"/>
        <v>담화공</v>
      </c>
      <c r="H1901" t="str">
        <f t="shared" si="328"/>
        <v>스토리위즈</v>
      </c>
      <c r="I1901" t="str">
        <f t="shared" si="325"/>
        <v>디버프 마스터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3</v>
      </c>
      <c r="AI1901">
        <v>0</v>
      </c>
      <c r="AJ1901">
        <v>0</v>
      </c>
      <c r="AK1901">
        <v>300</v>
      </c>
      <c r="AL1901">
        <v>0</v>
      </c>
      <c r="AM1901">
        <v>0</v>
      </c>
      <c r="AN1901">
        <v>0</v>
      </c>
      <c r="AO1901">
        <v>0</v>
      </c>
      <c r="AP1901">
        <v>210</v>
      </c>
      <c r="AT1901" t="str">
        <f t="shared" si="326"/>
        <v>9791137602663</v>
      </c>
      <c r="AV1901" t="str">
        <f t="shared" si="327"/>
        <v>판타지 웹소설 &gt; 퓨전 판타지</v>
      </c>
    </row>
    <row r="1902" spans="1:48" x14ac:dyDescent="0.4">
      <c r="A1902">
        <v>2313012849</v>
      </c>
      <c r="B1902">
        <v>2313013134</v>
      </c>
      <c r="C1902" t="str">
        <f>T("디버프 마스터 286화")</f>
        <v>디버프 마스터 286화</v>
      </c>
      <c r="D1902" t="str">
        <f>T("286")</f>
        <v>286</v>
      </c>
      <c r="E1902" t="str">
        <f t="shared" si="324"/>
        <v>담화공</v>
      </c>
      <c r="H1902" t="str">
        <f t="shared" si="328"/>
        <v>스토리위즈</v>
      </c>
      <c r="I1902" t="str">
        <f t="shared" si="325"/>
        <v>디버프 마스터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3</v>
      </c>
      <c r="AI1902">
        <v>0</v>
      </c>
      <c r="AJ1902">
        <v>0</v>
      </c>
      <c r="AK1902">
        <v>300</v>
      </c>
      <c r="AL1902">
        <v>0</v>
      </c>
      <c r="AM1902">
        <v>0</v>
      </c>
      <c r="AN1902">
        <v>0</v>
      </c>
      <c r="AO1902">
        <v>0</v>
      </c>
      <c r="AP1902">
        <v>210</v>
      </c>
      <c r="AT1902" t="str">
        <f t="shared" si="326"/>
        <v>9791137602663</v>
      </c>
      <c r="AV1902" t="str">
        <f t="shared" si="327"/>
        <v>판타지 웹소설 &gt; 퓨전 판타지</v>
      </c>
    </row>
    <row r="1903" spans="1:48" x14ac:dyDescent="0.4">
      <c r="A1903">
        <v>2313012849</v>
      </c>
      <c r="B1903">
        <v>2313013135</v>
      </c>
      <c r="C1903" t="str">
        <f>T("디버프 마스터 287화")</f>
        <v>디버프 마스터 287화</v>
      </c>
      <c r="D1903" t="str">
        <f>T("287")</f>
        <v>287</v>
      </c>
      <c r="E1903" t="str">
        <f t="shared" si="324"/>
        <v>담화공</v>
      </c>
      <c r="H1903" t="str">
        <f t="shared" si="328"/>
        <v>스토리위즈</v>
      </c>
      <c r="I1903" t="str">
        <f t="shared" si="325"/>
        <v>디버프 마스터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3</v>
      </c>
      <c r="AI1903">
        <v>0</v>
      </c>
      <c r="AJ1903">
        <v>0</v>
      </c>
      <c r="AK1903">
        <v>300</v>
      </c>
      <c r="AL1903">
        <v>0</v>
      </c>
      <c r="AM1903">
        <v>0</v>
      </c>
      <c r="AN1903">
        <v>0</v>
      </c>
      <c r="AO1903">
        <v>0</v>
      </c>
      <c r="AP1903">
        <v>210</v>
      </c>
      <c r="AT1903" t="str">
        <f t="shared" si="326"/>
        <v>9791137602663</v>
      </c>
      <c r="AV1903" t="str">
        <f t="shared" si="327"/>
        <v>판타지 웹소설 &gt; 퓨전 판타지</v>
      </c>
    </row>
    <row r="1904" spans="1:48" x14ac:dyDescent="0.4">
      <c r="A1904">
        <v>2313012849</v>
      </c>
      <c r="B1904">
        <v>2313013136</v>
      </c>
      <c r="C1904" t="str">
        <f>T("디버프 마스터 288화")</f>
        <v>디버프 마스터 288화</v>
      </c>
      <c r="D1904" t="str">
        <f>T("288")</f>
        <v>288</v>
      </c>
      <c r="E1904" t="str">
        <f t="shared" si="324"/>
        <v>담화공</v>
      </c>
      <c r="H1904" t="str">
        <f t="shared" si="328"/>
        <v>스토리위즈</v>
      </c>
      <c r="I1904" t="str">
        <f t="shared" si="325"/>
        <v>디버프 마스터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3</v>
      </c>
      <c r="AI1904">
        <v>0</v>
      </c>
      <c r="AJ1904">
        <v>0</v>
      </c>
      <c r="AK1904">
        <v>300</v>
      </c>
      <c r="AL1904">
        <v>0</v>
      </c>
      <c r="AM1904">
        <v>0</v>
      </c>
      <c r="AN1904">
        <v>0</v>
      </c>
      <c r="AO1904">
        <v>0</v>
      </c>
      <c r="AP1904">
        <v>210</v>
      </c>
      <c r="AT1904" t="str">
        <f t="shared" si="326"/>
        <v>9791137602663</v>
      </c>
      <c r="AV1904" t="str">
        <f t="shared" si="327"/>
        <v>판타지 웹소설 &gt; 퓨전 판타지</v>
      </c>
    </row>
    <row r="1905" spans="1:48" x14ac:dyDescent="0.4">
      <c r="A1905">
        <v>2313012849</v>
      </c>
      <c r="B1905">
        <v>2313013137</v>
      </c>
      <c r="C1905" t="str">
        <f>T("디버프 마스터 289화")</f>
        <v>디버프 마스터 289화</v>
      </c>
      <c r="D1905" t="str">
        <f>T("289")</f>
        <v>289</v>
      </c>
      <c r="E1905" t="str">
        <f t="shared" si="324"/>
        <v>담화공</v>
      </c>
      <c r="H1905" t="str">
        <f t="shared" si="328"/>
        <v>스토리위즈</v>
      </c>
      <c r="I1905" t="str">
        <f t="shared" si="325"/>
        <v>디버프 마스터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3</v>
      </c>
      <c r="AI1905">
        <v>0</v>
      </c>
      <c r="AJ1905">
        <v>0</v>
      </c>
      <c r="AK1905">
        <v>300</v>
      </c>
      <c r="AL1905">
        <v>0</v>
      </c>
      <c r="AM1905">
        <v>0</v>
      </c>
      <c r="AN1905">
        <v>0</v>
      </c>
      <c r="AO1905">
        <v>0</v>
      </c>
      <c r="AP1905">
        <v>210</v>
      </c>
      <c r="AT1905" t="str">
        <f t="shared" si="326"/>
        <v>9791137602663</v>
      </c>
      <c r="AV1905" t="str">
        <f t="shared" si="327"/>
        <v>판타지 웹소설 &gt; 퓨전 판타지</v>
      </c>
    </row>
    <row r="1906" spans="1:48" x14ac:dyDescent="0.4">
      <c r="A1906">
        <v>2313012849</v>
      </c>
      <c r="B1906">
        <v>2313013138</v>
      </c>
      <c r="C1906" t="str">
        <f>T("디버프 마스터 290화")</f>
        <v>디버프 마스터 290화</v>
      </c>
      <c r="D1906" t="str">
        <f>T("290")</f>
        <v>290</v>
      </c>
      <c r="E1906" t="str">
        <f t="shared" si="324"/>
        <v>담화공</v>
      </c>
      <c r="H1906" t="str">
        <f t="shared" si="328"/>
        <v>스토리위즈</v>
      </c>
      <c r="I1906" t="str">
        <f t="shared" si="325"/>
        <v>디버프 마스터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3</v>
      </c>
      <c r="AI1906">
        <v>0</v>
      </c>
      <c r="AJ1906">
        <v>0</v>
      </c>
      <c r="AK1906">
        <v>300</v>
      </c>
      <c r="AL1906">
        <v>0</v>
      </c>
      <c r="AM1906">
        <v>0</v>
      </c>
      <c r="AN1906">
        <v>0</v>
      </c>
      <c r="AO1906">
        <v>0</v>
      </c>
      <c r="AP1906">
        <v>210</v>
      </c>
      <c r="AT1906" t="str">
        <f t="shared" si="326"/>
        <v>9791137602663</v>
      </c>
      <c r="AV1906" t="str">
        <f t="shared" si="327"/>
        <v>판타지 웹소설 &gt; 퓨전 판타지</v>
      </c>
    </row>
    <row r="1907" spans="1:48" x14ac:dyDescent="0.4">
      <c r="A1907">
        <v>2313012849</v>
      </c>
      <c r="B1907">
        <v>2313013139</v>
      </c>
      <c r="C1907" t="str">
        <f>T("디버프 마스터 291화")</f>
        <v>디버프 마스터 291화</v>
      </c>
      <c r="D1907" t="str">
        <f>T("291")</f>
        <v>291</v>
      </c>
      <c r="E1907" t="str">
        <f t="shared" si="324"/>
        <v>담화공</v>
      </c>
      <c r="H1907" t="str">
        <f t="shared" si="328"/>
        <v>스토리위즈</v>
      </c>
      <c r="I1907" t="str">
        <f t="shared" si="325"/>
        <v>디버프 마스터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3</v>
      </c>
      <c r="AI1907">
        <v>0</v>
      </c>
      <c r="AJ1907">
        <v>0</v>
      </c>
      <c r="AK1907">
        <v>300</v>
      </c>
      <c r="AL1907">
        <v>0</v>
      </c>
      <c r="AM1907">
        <v>0</v>
      </c>
      <c r="AN1907">
        <v>0</v>
      </c>
      <c r="AO1907">
        <v>0</v>
      </c>
      <c r="AP1907">
        <v>210</v>
      </c>
      <c r="AT1907" t="str">
        <f t="shared" si="326"/>
        <v>9791137602663</v>
      </c>
      <c r="AV1907" t="str">
        <f t="shared" si="327"/>
        <v>판타지 웹소설 &gt; 퓨전 판타지</v>
      </c>
    </row>
    <row r="1908" spans="1:48" x14ac:dyDescent="0.4">
      <c r="A1908">
        <v>2313012849</v>
      </c>
      <c r="B1908">
        <v>2313013140</v>
      </c>
      <c r="C1908" t="str">
        <f>T("디버프 마스터 292화")</f>
        <v>디버프 마스터 292화</v>
      </c>
      <c r="D1908" t="str">
        <f>T("292")</f>
        <v>292</v>
      </c>
      <c r="E1908" t="str">
        <f t="shared" si="324"/>
        <v>담화공</v>
      </c>
      <c r="H1908" t="str">
        <f t="shared" si="328"/>
        <v>스토리위즈</v>
      </c>
      <c r="I1908" t="str">
        <f t="shared" si="325"/>
        <v>디버프 마스터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3</v>
      </c>
      <c r="AI1908">
        <v>0</v>
      </c>
      <c r="AJ1908">
        <v>0</v>
      </c>
      <c r="AK1908">
        <v>300</v>
      </c>
      <c r="AL1908">
        <v>0</v>
      </c>
      <c r="AM1908">
        <v>0</v>
      </c>
      <c r="AN1908">
        <v>0</v>
      </c>
      <c r="AO1908">
        <v>0</v>
      </c>
      <c r="AP1908">
        <v>210</v>
      </c>
      <c r="AT1908" t="str">
        <f t="shared" si="326"/>
        <v>9791137602663</v>
      </c>
      <c r="AV1908" t="str">
        <f t="shared" si="327"/>
        <v>판타지 웹소설 &gt; 퓨전 판타지</v>
      </c>
    </row>
    <row r="1909" spans="1:48" x14ac:dyDescent="0.4">
      <c r="A1909">
        <v>2313012849</v>
      </c>
      <c r="B1909">
        <v>2313013141</v>
      </c>
      <c r="C1909" t="str">
        <f>T("디버프 마스터 293화")</f>
        <v>디버프 마스터 293화</v>
      </c>
      <c r="D1909" t="str">
        <f>T("293")</f>
        <v>293</v>
      </c>
      <c r="E1909" t="str">
        <f t="shared" si="324"/>
        <v>담화공</v>
      </c>
      <c r="H1909" t="str">
        <f t="shared" si="328"/>
        <v>스토리위즈</v>
      </c>
      <c r="I1909" t="str">
        <f t="shared" si="325"/>
        <v>디버프 마스터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3</v>
      </c>
      <c r="AI1909">
        <v>0</v>
      </c>
      <c r="AJ1909">
        <v>0</v>
      </c>
      <c r="AK1909">
        <v>300</v>
      </c>
      <c r="AL1909">
        <v>0</v>
      </c>
      <c r="AM1909">
        <v>0</v>
      </c>
      <c r="AN1909">
        <v>0</v>
      </c>
      <c r="AO1909">
        <v>0</v>
      </c>
      <c r="AP1909">
        <v>210</v>
      </c>
      <c r="AT1909" t="str">
        <f t="shared" si="326"/>
        <v>9791137602663</v>
      </c>
      <c r="AV1909" t="str">
        <f t="shared" si="327"/>
        <v>판타지 웹소설 &gt; 퓨전 판타지</v>
      </c>
    </row>
    <row r="1910" spans="1:48" x14ac:dyDescent="0.4">
      <c r="A1910">
        <v>2313012849</v>
      </c>
      <c r="B1910">
        <v>2313013142</v>
      </c>
      <c r="C1910" t="str">
        <f>T("디버프 마스터 294화")</f>
        <v>디버프 마스터 294화</v>
      </c>
      <c r="D1910" t="str">
        <f>T("294")</f>
        <v>294</v>
      </c>
      <c r="E1910" t="str">
        <f t="shared" si="324"/>
        <v>담화공</v>
      </c>
      <c r="H1910" t="str">
        <f t="shared" si="328"/>
        <v>스토리위즈</v>
      </c>
      <c r="I1910" t="str">
        <f t="shared" si="325"/>
        <v>디버프 마스터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3</v>
      </c>
      <c r="AI1910">
        <v>0</v>
      </c>
      <c r="AJ1910">
        <v>0</v>
      </c>
      <c r="AK1910">
        <v>300</v>
      </c>
      <c r="AL1910">
        <v>0</v>
      </c>
      <c r="AM1910">
        <v>0</v>
      </c>
      <c r="AN1910">
        <v>0</v>
      </c>
      <c r="AO1910">
        <v>0</v>
      </c>
      <c r="AP1910">
        <v>210</v>
      </c>
      <c r="AT1910" t="str">
        <f t="shared" si="326"/>
        <v>9791137602663</v>
      </c>
      <c r="AV1910" t="str">
        <f t="shared" si="327"/>
        <v>판타지 웹소설 &gt; 퓨전 판타지</v>
      </c>
    </row>
    <row r="1911" spans="1:48" x14ac:dyDescent="0.4">
      <c r="A1911">
        <v>2313012849</v>
      </c>
      <c r="B1911">
        <v>2313013143</v>
      </c>
      <c r="C1911" t="str">
        <f>T("디버프 마스터 295화")</f>
        <v>디버프 마스터 295화</v>
      </c>
      <c r="D1911" t="str">
        <f>T("295")</f>
        <v>295</v>
      </c>
      <c r="E1911" t="str">
        <f t="shared" si="324"/>
        <v>담화공</v>
      </c>
      <c r="H1911" t="str">
        <f t="shared" si="328"/>
        <v>스토리위즈</v>
      </c>
      <c r="I1911" t="str">
        <f t="shared" si="325"/>
        <v>디버프 마스터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3</v>
      </c>
      <c r="AI1911">
        <v>0</v>
      </c>
      <c r="AJ1911">
        <v>0</v>
      </c>
      <c r="AK1911">
        <v>300</v>
      </c>
      <c r="AL1911">
        <v>0</v>
      </c>
      <c r="AM1911">
        <v>0</v>
      </c>
      <c r="AN1911">
        <v>0</v>
      </c>
      <c r="AO1911">
        <v>0</v>
      </c>
      <c r="AP1911">
        <v>210</v>
      </c>
      <c r="AT1911" t="str">
        <f t="shared" si="326"/>
        <v>9791137602663</v>
      </c>
      <c r="AV1911" t="str">
        <f t="shared" si="327"/>
        <v>판타지 웹소설 &gt; 퓨전 판타지</v>
      </c>
    </row>
    <row r="1912" spans="1:48" x14ac:dyDescent="0.4">
      <c r="A1912">
        <v>2313012849</v>
      </c>
      <c r="B1912">
        <v>2313013144</v>
      </c>
      <c r="C1912" t="str">
        <f>T("디버프 마스터 296화")</f>
        <v>디버프 마스터 296화</v>
      </c>
      <c r="D1912" t="str">
        <f>T("296")</f>
        <v>296</v>
      </c>
      <c r="E1912" t="str">
        <f t="shared" si="324"/>
        <v>담화공</v>
      </c>
      <c r="H1912" t="str">
        <f t="shared" si="328"/>
        <v>스토리위즈</v>
      </c>
      <c r="I1912" t="str">
        <f t="shared" si="325"/>
        <v>디버프 마스터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3</v>
      </c>
      <c r="AI1912">
        <v>0</v>
      </c>
      <c r="AJ1912">
        <v>0</v>
      </c>
      <c r="AK1912">
        <v>300</v>
      </c>
      <c r="AL1912">
        <v>0</v>
      </c>
      <c r="AM1912">
        <v>0</v>
      </c>
      <c r="AN1912">
        <v>0</v>
      </c>
      <c r="AO1912">
        <v>0</v>
      </c>
      <c r="AP1912">
        <v>210</v>
      </c>
      <c r="AT1912" t="str">
        <f t="shared" si="326"/>
        <v>9791137602663</v>
      </c>
      <c r="AV1912" t="str">
        <f t="shared" si="327"/>
        <v>판타지 웹소설 &gt; 퓨전 판타지</v>
      </c>
    </row>
    <row r="1913" spans="1:48" x14ac:dyDescent="0.4">
      <c r="A1913">
        <v>2313012849</v>
      </c>
      <c r="B1913">
        <v>2313013145</v>
      </c>
      <c r="C1913" t="str">
        <f>T("디버프 마스터 297화")</f>
        <v>디버프 마스터 297화</v>
      </c>
      <c r="D1913" t="str">
        <f>T("297")</f>
        <v>297</v>
      </c>
      <c r="E1913" t="str">
        <f t="shared" si="324"/>
        <v>담화공</v>
      </c>
      <c r="H1913" t="str">
        <f t="shared" si="328"/>
        <v>스토리위즈</v>
      </c>
      <c r="I1913" t="str">
        <f t="shared" si="325"/>
        <v>디버프 마스터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3</v>
      </c>
      <c r="AI1913">
        <v>0</v>
      </c>
      <c r="AJ1913">
        <v>0</v>
      </c>
      <c r="AK1913">
        <v>300</v>
      </c>
      <c r="AL1913">
        <v>0</v>
      </c>
      <c r="AM1913">
        <v>0</v>
      </c>
      <c r="AN1913">
        <v>0</v>
      </c>
      <c r="AO1913">
        <v>0</v>
      </c>
      <c r="AP1913">
        <v>210</v>
      </c>
      <c r="AT1913" t="str">
        <f t="shared" si="326"/>
        <v>9791137602663</v>
      </c>
      <c r="AV1913" t="str">
        <f t="shared" si="327"/>
        <v>판타지 웹소설 &gt; 퓨전 판타지</v>
      </c>
    </row>
    <row r="1914" spans="1:48" x14ac:dyDescent="0.4">
      <c r="A1914">
        <v>2313012849</v>
      </c>
      <c r="B1914">
        <v>2313013146</v>
      </c>
      <c r="C1914" t="str">
        <f>T("디버프 마스터 298화")</f>
        <v>디버프 마스터 298화</v>
      </c>
      <c r="D1914" t="str">
        <f>T("298")</f>
        <v>298</v>
      </c>
      <c r="E1914" t="str">
        <f t="shared" si="324"/>
        <v>담화공</v>
      </c>
      <c r="H1914" t="str">
        <f t="shared" si="328"/>
        <v>스토리위즈</v>
      </c>
      <c r="I1914" t="str">
        <f t="shared" si="325"/>
        <v>디버프 마스터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3</v>
      </c>
      <c r="AI1914">
        <v>0</v>
      </c>
      <c r="AJ1914">
        <v>0</v>
      </c>
      <c r="AK1914">
        <v>300</v>
      </c>
      <c r="AL1914">
        <v>0</v>
      </c>
      <c r="AM1914">
        <v>0</v>
      </c>
      <c r="AN1914">
        <v>0</v>
      </c>
      <c r="AO1914">
        <v>0</v>
      </c>
      <c r="AP1914">
        <v>210</v>
      </c>
      <c r="AT1914" t="str">
        <f t="shared" si="326"/>
        <v>9791137602663</v>
      </c>
      <c r="AV1914" t="str">
        <f t="shared" si="327"/>
        <v>판타지 웹소설 &gt; 퓨전 판타지</v>
      </c>
    </row>
    <row r="1915" spans="1:48" x14ac:dyDescent="0.4">
      <c r="A1915">
        <v>2313012849</v>
      </c>
      <c r="B1915">
        <v>2313013147</v>
      </c>
      <c r="C1915" t="str">
        <f>T("디버프 마스터 299화")</f>
        <v>디버프 마스터 299화</v>
      </c>
      <c r="D1915" t="str">
        <f>T("299")</f>
        <v>299</v>
      </c>
      <c r="E1915" t="str">
        <f t="shared" si="324"/>
        <v>담화공</v>
      </c>
      <c r="H1915" t="str">
        <f t="shared" si="328"/>
        <v>스토리위즈</v>
      </c>
      <c r="I1915" t="str">
        <f t="shared" si="325"/>
        <v>디버프 마스터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3</v>
      </c>
      <c r="AI1915">
        <v>0</v>
      </c>
      <c r="AJ1915">
        <v>0</v>
      </c>
      <c r="AK1915">
        <v>300</v>
      </c>
      <c r="AL1915">
        <v>0</v>
      </c>
      <c r="AM1915">
        <v>0</v>
      </c>
      <c r="AN1915">
        <v>0</v>
      </c>
      <c r="AO1915">
        <v>0</v>
      </c>
      <c r="AP1915">
        <v>210</v>
      </c>
      <c r="AT1915" t="str">
        <f t="shared" si="326"/>
        <v>9791137602663</v>
      </c>
      <c r="AV1915" t="str">
        <f t="shared" si="327"/>
        <v>판타지 웹소설 &gt; 퓨전 판타지</v>
      </c>
    </row>
    <row r="1916" spans="1:48" x14ac:dyDescent="0.4">
      <c r="A1916">
        <v>2313012849</v>
      </c>
      <c r="B1916">
        <v>2313013148</v>
      </c>
      <c r="C1916" t="str">
        <f>T("디버프 마스터 300화")</f>
        <v>디버프 마스터 300화</v>
      </c>
      <c r="D1916" t="str">
        <f>T("300")</f>
        <v>300</v>
      </c>
      <c r="E1916" t="str">
        <f t="shared" si="324"/>
        <v>담화공</v>
      </c>
      <c r="H1916" t="str">
        <f t="shared" si="328"/>
        <v>스토리위즈</v>
      </c>
      <c r="I1916" t="str">
        <f t="shared" si="325"/>
        <v>디버프 마스터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3</v>
      </c>
      <c r="AI1916">
        <v>0</v>
      </c>
      <c r="AJ1916">
        <v>0</v>
      </c>
      <c r="AK1916">
        <v>300</v>
      </c>
      <c r="AL1916">
        <v>0</v>
      </c>
      <c r="AM1916">
        <v>0</v>
      </c>
      <c r="AN1916">
        <v>0</v>
      </c>
      <c r="AO1916">
        <v>0</v>
      </c>
      <c r="AP1916">
        <v>210</v>
      </c>
      <c r="AT1916" t="str">
        <f t="shared" si="326"/>
        <v>9791137602663</v>
      </c>
      <c r="AV1916" t="str">
        <f t="shared" si="327"/>
        <v>판타지 웹소설 &gt; 퓨전 판타지</v>
      </c>
    </row>
    <row r="1917" spans="1:48" x14ac:dyDescent="0.4">
      <c r="A1917">
        <v>2313012849</v>
      </c>
      <c r="B1917">
        <v>2313013149</v>
      </c>
      <c r="C1917" t="str">
        <f>T("디버프 마스터 301화")</f>
        <v>디버프 마스터 301화</v>
      </c>
      <c r="D1917" t="str">
        <f>T("301")</f>
        <v>301</v>
      </c>
      <c r="E1917" t="str">
        <f t="shared" si="324"/>
        <v>담화공</v>
      </c>
      <c r="H1917" t="str">
        <f t="shared" si="328"/>
        <v>스토리위즈</v>
      </c>
      <c r="I1917" t="str">
        <f t="shared" si="325"/>
        <v>디버프 마스터</v>
      </c>
      <c r="J1917">
        <v>100</v>
      </c>
      <c r="K1917">
        <v>300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300</v>
      </c>
      <c r="AH1917">
        <v>3</v>
      </c>
      <c r="AI1917">
        <v>0</v>
      </c>
      <c r="AJ1917">
        <v>0</v>
      </c>
      <c r="AK1917">
        <v>300</v>
      </c>
      <c r="AL1917">
        <v>0</v>
      </c>
      <c r="AM1917">
        <v>0</v>
      </c>
      <c r="AN1917">
        <v>0</v>
      </c>
      <c r="AO1917">
        <v>0</v>
      </c>
      <c r="AP1917">
        <v>210</v>
      </c>
      <c r="AT1917" t="str">
        <f t="shared" si="326"/>
        <v>9791137602663</v>
      </c>
      <c r="AV1917" t="str">
        <f t="shared" si="327"/>
        <v>판타지 웹소설 &gt; 퓨전 판타지</v>
      </c>
    </row>
    <row r="1918" spans="1:48" x14ac:dyDescent="0.4">
      <c r="A1918">
        <v>2313012849</v>
      </c>
      <c r="B1918">
        <v>2313013150</v>
      </c>
      <c r="C1918" t="str">
        <f>T("디버프 마스터 302화")</f>
        <v>디버프 마스터 302화</v>
      </c>
      <c r="D1918" t="str">
        <f>T("302")</f>
        <v>302</v>
      </c>
      <c r="E1918" t="str">
        <f t="shared" si="324"/>
        <v>담화공</v>
      </c>
      <c r="H1918" t="str">
        <f t="shared" si="328"/>
        <v>스토리위즈</v>
      </c>
      <c r="I1918" t="str">
        <f t="shared" si="325"/>
        <v>디버프 마스터</v>
      </c>
      <c r="J1918">
        <v>100</v>
      </c>
      <c r="K1918">
        <v>300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300</v>
      </c>
      <c r="AH1918">
        <v>3</v>
      </c>
      <c r="AI1918">
        <v>0</v>
      </c>
      <c r="AJ1918">
        <v>0</v>
      </c>
      <c r="AK1918">
        <v>300</v>
      </c>
      <c r="AL1918">
        <v>0</v>
      </c>
      <c r="AM1918">
        <v>0</v>
      </c>
      <c r="AN1918">
        <v>0</v>
      </c>
      <c r="AO1918">
        <v>0</v>
      </c>
      <c r="AP1918">
        <v>210</v>
      </c>
      <c r="AT1918" t="str">
        <f t="shared" si="326"/>
        <v>9791137602663</v>
      </c>
      <c r="AV1918" t="str">
        <f t="shared" si="327"/>
        <v>판타지 웹소설 &gt; 퓨전 판타지</v>
      </c>
    </row>
    <row r="1919" spans="1:48" x14ac:dyDescent="0.4">
      <c r="A1919">
        <v>2313012849</v>
      </c>
      <c r="B1919">
        <v>2313013151</v>
      </c>
      <c r="C1919" t="str">
        <f>T("디버프 마스터 303화")</f>
        <v>디버프 마스터 303화</v>
      </c>
      <c r="D1919" t="str">
        <f>T("303")</f>
        <v>303</v>
      </c>
      <c r="E1919" t="str">
        <f t="shared" si="324"/>
        <v>담화공</v>
      </c>
      <c r="H1919" t="str">
        <f t="shared" si="328"/>
        <v>스토리위즈</v>
      </c>
      <c r="I1919" t="str">
        <f t="shared" si="325"/>
        <v>디버프 마스터</v>
      </c>
      <c r="J1919">
        <v>100</v>
      </c>
      <c r="K1919">
        <v>300</v>
      </c>
      <c r="L1919">
        <v>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300</v>
      </c>
      <c r="AH1919">
        <v>3</v>
      </c>
      <c r="AI1919">
        <v>0</v>
      </c>
      <c r="AJ1919">
        <v>0</v>
      </c>
      <c r="AK1919">
        <v>300</v>
      </c>
      <c r="AL1919">
        <v>0</v>
      </c>
      <c r="AM1919">
        <v>0</v>
      </c>
      <c r="AN1919">
        <v>0</v>
      </c>
      <c r="AO1919">
        <v>0</v>
      </c>
      <c r="AP1919">
        <v>210</v>
      </c>
      <c r="AT1919" t="str">
        <f t="shared" si="326"/>
        <v>9791137602663</v>
      </c>
      <c r="AV1919" t="str">
        <f t="shared" si="327"/>
        <v>판타지 웹소설 &gt; 퓨전 판타지</v>
      </c>
    </row>
    <row r="1920" spans="1:48" x14ac:dyDescent="0.4">
      <c r="A1920">
        <v>2313012849</v>
      </c>
      <c r="B1920">
        <v>2313013152</v>
      </c>
      <c r="C1920" t="str">
        <f>T("디버프 마스터 304화")</f>
        <v>디버프 마스터 304화</v>
      </c>
      <c r="D1920" t="str">
        <f>T("304")</f>
        <v>304</v>
      </c>
      <c r="E1920" t="str">
        <f t="shared" si="324"/>
        <v>담화공</v>
      </c>
      <c r="H1920" t="str">
        <f t="shared" si="328"/>
        <v>스토리위즈</v>
      </c>
      <c r="I1920" t="str">
        <f t="shared" si="325"/>
        <v>디버프 마스터</v>
      </c>
      <c r="J1920">
        <v>100</v>
      </c>
      <c r="K1920">
        <v>300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300</v>
      </c>
      <c r="AH1920">
        <v>3</v>
      </c>
      <c r="AI1920">
        <v>0</v>
      </c>
      <c r="AJ1920">
        <v>0</v>
      </c>
      <c r="AK1920">
        <v>300</v>
      </c>
      <c r="AL1920">
        <v>0</v>
      </c>
      <c r="AM1920">
        <v>0</v>
      </c>
      <c r="AN1920">
        <v>0</v>
      </c>
      <c r="AO1920">
        <v>0</v>
      </c>
      <c r="AP1920">
        <v>210</v>
      </c>
      <c r="AT1920" t="str">
        <f t="shared" si="326"/>
        <v>9791137602663</v>
      </c>
      <c r="AV1920" t="str">
        <f t="shared" si="327"/>
        <v>판타지 웹소설 &gt; 퓨전 판타지</v>
      </c>
    </row>
    <row r="1921" spans="1:48" x14ac:dyDescent="0.4">
      <c r="A1921">
        <v>2313012849</v>
      </c>
      <c r="B1921">
        <v>2313013153</v>
      </c>
      <c r="C1921" t="str">
        <f>T("디버프 마스터 305화")</f>
        <v>디버프 마스터 305화</v>
      </c>
      <c r="D1921" t="str">
        <f>T("305")</f>
        <v>305</v>
      </c>
      <c r="E1921" t="str">
        <f t="shared" ref="E1921:E1945" si="329">T("담화공")</f>
        <v>담화공</v>
      </c>
      <c r="H1921" t="str">
        <f t="shared" si="328"/>
        <v>스토리위즈</v>
      </c>
      <c r="I1921" t="str">
        <f t="shared" ref="I1921:I1945" si="330">T("디버프 마스터")</f>
        <v>디버프 마스터</v>
      </c>
      <c r="J1921">
        <v>100</v>
      </c>
      <c r="K1921">
        <v>300</v>
      </c>
      <c r="L1921">
        <v>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300</v>
      </c>
      <c r="AH1921">
        <v>3</v>
      </c>
      <c r="AI1921">
        <v>0</v>
      </c>
      <c r="AJ1921">
        <v>0</v>
      </c>
      <c r="AK1921">
        <v>300</v>
      </c>
      <c r="AL1921">
        <v>0</v>
      </c>
      <c r="AM1921">
        <v>0</v>
      </c>
      <c r="AN1921">
        <v>0</v>
      </c>
      <c r="AO1921">
        <v>0</v>
      </c>
      <c r="AP1921">
        <v>210</v>
      </c>
      <c r="AT1921" t="str">
        <f t="shared" ref="AT1921:AT1945" si="331">T("9791137602663")</f>
        <v>9791137602663</v>
      </c>
      <c r="AV1921" t="str">
        <f t="shared" ref="AV1921:AV1947" si="332">T("판타지 웹소설 &gt; 퓨전 판타지")</f>
        <v>판타지 웹소설 &gt; 퓨전 판타지</v>
      </c>
    </row>
    <row r="1922" spans="1:48" x14ac:dyDescent="0.4">
      <c r="A1922">
        <v>2313012849</v>
      </c>
      <c r="B1922">
        <v>2313013154</v>
      </c>
      <c r="C1922" t="str">
        <f>T("디버프 마스터 306화")</f>
        <v>디버프 마스터 306화</v>
      </c>
      <c r="D1922" t="str">
        <f>T("306")</f>
        <v>306</v>
      </c>
      <c r="E1922" t="str">
        <f t="shared" si="329"/>
        <v>담화공</v>
      </c>
      <c r="H1922" t="str">
        <f t="shared" si="328"/>
        <v>스토리위즈</v>
      </c>
      <c r="I1922" t="str">
        <f t="shared" si="330"/>
        <v>디버프 마스터</v>
      </c>
      <c r="J1922">
        <v>100</v>
      </c>
      <c r="K1922">
        <v>300</v>
      </c>
      <c r="L1922">
        <v>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300</v>
      </c>
      <c r="AH1922">
        <v>3</v>
      </c>
      <c r="AI1922">
        <v>0</v>
      </c>
      <c r="AJ1922">
        <v>0</v>
      </c>
      <c r="AK1922">
        <v>300</v>
      </c>
      <c r="AL1922">
        <v>0</v>
      </c>
      <c r="AM1922">
        <v>0</v>
      </c>
      <c r="AN1922">
        <v>0</v>
      </c>
      <c r="AO1922">
        <v>0</v>
      </c>
      <c r="AP1922">
        <v>210</v>
      </c>
      <c r="AT1922" t="str">
        <f t="shared" si="331"/>
        <v>9791137602663</v>
      </c>
      <c r="AV1922" t="str">
        <f t="shared" si="332"/>
        <v>판타지 웹소설 &gt; 퓨전 판타지</v>
      </c>
    </row>
    <row r="1923" spans="1:48" x14ac:dyDescent="0.4">
      <c r="A1923">
        <v>2313012849</v>
      </c>
      <c r="B1923">
        <v>2313013155</v>
      </c>
      <c r="C1923" t="str">
        <f>T("디버프 마스터 307화")</f>
        <v>디버프 마스터 307화</v>
      </c>
      <c r="D1923" t="str">
        <f>T("307")</f>
        <v>307</v>
      </c>
      <c r="E1923" t="str">
        <f t="shared" si="329"/>
        <v>담화공</v>
      </c>
      <c r="H1923" t="str">
        <f t="shared" si="328"/>
        <v>스토리위즈</v>
      </c>
      <c r="I1923" t="str">
        <f t="shared" si="330"/>
        <v>디버프 마스터</v>
      </c>
      <c r="J1923">
        <v>100</v>
      </c>
      <c r="K1923">
        <v>300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300</v>
      </c>
      <c r="AH1923">
        <v>3</v>
      </c>
      <c r="AI1923">
        <v>0</v>
      </c>
      <c r="AJ1923">
        <v>0</v>
      </c>
      <c r="AK1923">
        <v>300</v>
      </c>
      <c r="AL1923">
        <v>0</v>
      </c>
      <c r="AM1923">
        <v>0</v>
      </c>
      <c r="AN1923">
        <v>0</v>
      </c>
      <c r="AO1923">
        <v>0</v>
      </c>
      <c r="AP1923">
        <v>210</v>
      </c>
      <c r="AT1923" t="str">
        <f t="shared" si="331"/>
        <v>9791137602663</v>
      </c>
      <c r="AV1923" t="str">
        <f t="shared" si="332"/>
        <v>판타지 웹소설 &gt; 퓨전 판타지</v>
      </c>
    </row>
    <row r="1924" spans="1:48" x14ac:dyDescent="0.4">
      <c r="A1924">
        <v>2313012849</v>
      </c>
      <c r="B1924">
        <v>2313013156</v>
      </c>
      <c r="C1924" t="str">
        <f>T("디버프 마스터 308화")</f>
        <v>디버프 마스터 308화</v>
      </c>
      <c r="D1924" t="str">
        <f>T("308")</f>
        <v>308</v>
      </c>
      <c r="E1924" t="str">
        <f t="shared" si="329"/>
        <v>담화공</v>
      </c>
      <c r="H1924" t="str">
        <f t="shared" si="328"/>
        <v>스토리위즈</v>
      </c>
      <c r="I1924" t="str">
        <f t="shared" si="330"/>
        <v>디버프 마스터</v>
      </c>
      <c r="J1924">
        <v>100</v>
      </c>
      <c r="K1924">
        <v>300</v>
      </c>
      <c r="L1924">
        <v>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300</v>
      </c>
      <c r="AH1924">
        <v>3</v>
      </c>
      <c r="AI1924">
        <v>0</v>
      </c>
      <c r="AJ1924">
        <v>0</v>
      </c>
      <c r="AK1924">
        <v>300</v>
      </c>
      <c r="AL1924">
        <v>0</v>
      </c>
      <c r="AM1924">
        <v>0</v>
      </c>
      <c r="AN1924">
        <v>0</v>
      </c>
      <c r="AO1924">
        <v>0</v>
      </c>
      <c r="AP1924">
        <v>210</v>
      </c>
      <c r="AT1924" t="str">
        <f t="shared" si="331"/>
        <v>9791137602663</v>
      </c>
      <c r="AV1924" t="str">
        <f t="shared" si="332"/>
        <v>판타지 웹소설 &gt; 퓨전 판타지</v>
      </c>
    </row>
    <row r="1925" spans="1:48" x14ac:dyDescent="0.4">
      <c r="A1925">
        <v>2313012849</v>
      </c>
      <c r="B1925">
        <v>2313013157</v>
      </c>
      <c r="C1925" t="str">
        <f>T("디버프 마스터 309화")</f>
        <v>디버프 마스터 309화</v>
      </c>
      <c r="D1925" t="str">
        <f>T("309")</f>
        <v>309</v>
      </c>
      <c r="E1925" t="str">
        <f t="shared" si="329"/>
        <v>담화공</v>
      </c>
      <c r="H1925" t="str">
        <f t="shared" si="328"/>
        <v>스토리위즈</v>
      </c>
      <c r="I1925" t="str">
        <f t="shared" si="330"/>
        <v>디버프 마스터</v>
      </c>
      <c r="J1925">
        <v>100</v>
      </c>
      <c r="K1925">
        <v>300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300</v>
      </c>
      <c r="AH1925">
        <v>3</v>
      </c>
      <c r="AI1925">
        <v>0</v>
      </c>
      <c r="AJ1925">
        <v>0</v>
      </c>
      <c r="AK1925">
        <v>300</v>
      </c>
      <c r="AL1925">
        <v>0</v>
      </c>
      <c r="AM1925">
        <v>0</v>
      </c>
      <c r="AN1925">
        <v>0</v>
      </c>
      <c r="AO1925">
        <v>0</v>
      </c>
      <c r="AP1925">
        <v>210</v>
      </c>
      <c r="AT1925" t="str">
        <f t="shared" si="331"/>
        <v>9791137602663</v>
      </c>
      <c r="AV1925" t="str">
        <f t="shared" si="332"/>
        <v>판타지 웹소설 &gt; 퓨전 판타지</v>
      </c>
    </row>
    <row r="1926" spans="1:48" x14ac:dyDescent="0.4">
      <c r="A1926">
        <v>2313012849</v>
      </c>
      <c r="B1926">
        <v>2313013158</v>
      </c>
      <c r="C1926" t="str">
        <f>T("디버프 마스터 310화")</f>
        <v>디버프 마스터 310화</v>
      </c>
      <c r="D1926" t="str">
        <f>T("310")</f>
        <v>310</v>
      </c>
      <c r="E1926" t="str">
        <f t="shared" si="329"/>
        <v>담화공</v>
      </c>
      <c r="H1926" t="str">
        <f t="shared" si="328"/>
        <v>스토리위즈</v>
      </c>
      <c r="I1926" t="str">
        <f t="shared" si="330"/>
        <v>디버프 마스터</v>
      </c>
      <c r="J1926">
        <v>100</v>
      </c>
      <c r="K1926">
        <v>300</v>
      </c>
      <c r="L1926">
        <v>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300</v>
      </c>
      <c r="AH1926">
        <v>3</v>
      </c>
      <c r="AI1926">
        <v>0</v>
      </c>
      <c r="AJ1926">
        <v>0</v>
      </c>
      <c r="AK1926">
        <v>300</v>
      </c>
      <c r="AL1926">
        <v>0</v>
      </c>
      <c r="AM1926">
        <v>0</v>
      </c>
      <c r="AN1926">
        <v>0</v>
      </c>
      <c r="AO1926">
        <v>0</v>
      </c>
      <c r="AP1926">
        <v>210</v>
      </c>
      <c r="AT1926" t="str">
        <f t="shared" si="331"/>
        <v>9791137602663</v>
      </c>
      <c r="AV1926" t="str">
        <f t="shared" si="332"/>
        <v>판타지 웹소설 &gt; 퓨전 판타지</v>
      </c>
    </row>
    <row r="1927" spans="1:48" x14ac:dyDescent="0.4">
      <c r="A1927">
        <v>2313012849</v>
      </c>
      <c r="B1927">
        <v>2313013159</v>
      </c>
      <c r="C1927" t="str">
        <f>T("디버프 마스터 311화")</f>
        <v>디버프 마스터 311화</v>
      </c>
      <c r="D1927" t="str">
        <f>T("311")</f>
        <v>311</v>
      </c>
      <c r="E1927" t="str">
        <f t="shared" si="329"/>
        <v>담화공</v>
      </c>
      <c r="H1927" t="str">
        <f t="shared" si="328"/>
        <v>스토리위즈</v>
      </c>
      <c r="I1927" t="str">
        <f t="shared" si="330"/>
        <v>디버프 마스터</v>
      </c>
      <c r="J1927">
        <v>100</v>
      </c>
      <c r="K1927">
        <v>300</v>
      </c>
      <c r="L1927">
        <v>3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300</v>
      </c>
      <c r="AH1927">
        <v>3</v>
      </c>
      <c r="AI1927">
        <v>0</v>
      </c>
      <c r="AJ1927">
        <v>0</v>
      </c>
      <c r="AK1927">
        <v>300</v>
      </c>
      <c r="AL1927">
        <v>0</v>
      </c>
      <c r="AM1927">
        <v>0</v>
      </c>
      <c r="AN1927">
        <v>0</v>
      </c>
      <c r="AO1927">
        <v>0</v>
      </c>
      <c r="AP1927">
        <v>210</v>
      </c>
      <c r="AT1927" t="str">
        <f t="shared" si="331"/>
        <v>9791137602663</v>
      </c>
      <c r="AV1927" t="str">
        <f t="shared" si="332"/>
        <v>판타지 웹소설 &gt; 퓨전 판타지</v>
      </c>
    </row>
    <row r="1928" spans="1:48" x14ac:dyDescent="0.4">
      <c r="A1928">
        <v>2313012849</v>
      </c>
      <c r="B1928">
        <v>2313013160</v>
      </c>
      <c r="C1928" t="str">
        <f>T("디버프 마스터 312화")</f>
        <v>디버프 마스터 312화</v>
      </c>
      <c r="D1928" t="str">
        <f>T("312")</f>
        <v>312</v>
      </c>
      <c r="E1928" t="str">
        <f t="shared" si="329"/>
        <v>담화공</v>
      </c>
      <c r="H1928" t="str">
        <f t="shared" si="328"/>
        <v>스토리위즈</v>
      </c>
      <c r="I1928" t="str">
        <f t="shared" si="330"/>
        <v>디버프 마스터</v>
      </c>
      <c r="J1928">
        <v>100</v>
      </c>
      <c r="K1928">
        <v>300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300</v>
      </c>
      <c r="AH1928">
        <v>3</v>
      </c>
      <c r="AI1928">
        <v>0</v>
      </c>
      <c r="AJ1928">
        <v>0</v>
      </c>
      <c r="AK1928">
        <v>300</v>
      </c>
      <c r="AL1928">
        <v>0</v>
      </c>
      <c r="AM1928">
        <v>0</v>
      </c>
      <c r="AN1928">
        <v>0</v>
      </c>
      <c r="AO1928">
        <v>0</v>
      </c>
      <c r="AP1928">
        <v>210</v>
      </c>
      <c r="AT1928" t="str">
        <f t="shared" si="331"/>
        <v>9791137602663</v>
      </c>
      <c r="AV1928" t="str">
        <f t="shared" si="332"/>
        <v>판타지 웹소설 &gt; 퓨전 판타지</v>
      </c>
    </row>
    <row r="1929" spans="1:48" x14ac:dyDescent="0.4">
      <c r="A1929">
        <v>2313012849</v>
      </c>
      <c r="B1929">
        <v>2313013161</v>
      </c>
      <c r="C1929" t="str">
        <f>T("디버프 마스터 313화")</f>
        <v>디버프 마스터 313화</v>
      </c>
      <c r="D1929" t="str">
        <f>T("313")</f>
        <v>313</v>
      </c>
      <c r="E1929" t="str">
        <f t="shared" si="329"/>
        <v>담화공</v>
      </c>
      <c r="H1929" t="str">
        <f t="shared" si="328"/>
        <v>스토리위즈</v>
      </c>
      <c r="I1929" t="str">
        <f t="shared" si="330"/>
        <v>디버프 마스터</v>
      </c>
      <c r="J1929">
        <v>100</v>
      </c>
      <c r="K1929">
        <v>300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300</v>
      </c>
      <c r="AH1929">
        <v>3</v>
      </c>
      <c r="AI1929">
        <v>0</v>
      </c>
      <c r="AJ1929">
        <v>0</v>
      </c>
      <c r="AK1929">
        <v>300</v>
      </c>
      <c r="AL1929">
        <v>0</v>
      </c>
      <c r="AM1929">
        <v>0</v>
      </c>
      <c r="AN1929">
        <v>0</v>
      </c>
      <c r="AO1929">
        <v>0</v>
      </c>
      <c r="AP1929">
        <v>210</v>
      </c>
      <c r="AT1929" t="str">
        <f t="shared" si="331"/>
        <v>9791137602663</v>
      </c>
      <c r="AV1929" t="str">
        <f t="shared" si="332"/>
        <v>판타지 웹소설 &gt; 퓨전 판타지</v>
      </c>
    </row>
    <row r="1930" spans="1:48" x14ac:dyDescent="0.4">
      <c r="A1930">
        <v>2313012849</v>
      </c>
      <c r="B1930">
        <v>2313013162</v>
      </c>
      <c r="C1930" t="str">
        <f>T("디버프 마스터 314화")</f>
        <v>디버프 마스터 314화</v>
      </c>
      <c r="D1930" t="str">
        <f>T("314")</f>
        <v>314</v>
      </c>
      <c r="E1930" t="str">
        <f t="shared" si="329"/>
        <v>담화공</v>
      </c>
      <c r="H1930" t="str">
        <f t="shared" si="328"/>
        <v>스토리위즈</v>
      </c>
      <c r="I1930" t="str">
        <f t="shared" si="330"/>
        <v>디버프 마스터</v>
      </c>
      <c r="J1930">
        <v>100</v>
      </c>
      <c r="K1930">
        <v>300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300</v>
      </c>
      <c r="AH1930">
        <v>3</v>
      </c>
      <c r="AI1930">
        <v>0</v>
      </c>
      <c r="AJ1930">
        <v>0</v>
      </c>
      <c r="AK1930">
        <v>300</v>
      </c>
      <c r="AL1930">
        <v>0</v>
      </c>
      <c r="AM1930">
        <v>0</v>
      </c>
      <c r="AN1930">
        <v>0</v>
      </c>
      <c r="AO1930">
        <v>0</v>
      </c>
      <c r="AP1930">
        <v>210</v>
      </c>
      <c r="AT1930" t="str">
        <f t="shared" si="331"/>
        <v>9791137602663</v>
      </c>
      <c r="AV1930" t="str">
        <f t="shared" si="332"/>
        <v>판타지 웹소설 &gt; 퓨전 판타지</v>
      </c>
    </row>
    <row r="1931" spans="1:48" x14ac:dyDescent="0.4">
      <c r="A1931">
        <v>2313012849</v>
      </c>
      <c r="B1931">
        <v>2313013163</v>
      </c>
      <c r="C1931" t="str">
        <f>T("디버프 마스터 315화")</f>
        <v>디버프 마스터 315화</v>
      </c>
      <c r="D1931" t="str">
        <f>T("315")</f>
        <v>315</v>
      </c>
      <c r="E1931" t="str">
        <f t="shared" si="329"/>
        <v>담화공</v>
      </c>
      <c r="H1931" t="str">
        <f t="shared" si="328"/>
        <v>스토리위즈</v>
      </c>
      <c r="I1931" t="str">
        <f t="shared" si="330"/>
        <v>디버프 마스터</v>
      </c>
      <c r="J1931">
        <v>100</v>
      </c>
      <c r="K1931">
        <v>300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300</v>
      </c>
      <c r="AH1931">
        <v>3</v>
      </c>
      <c r="AI1931">
        <v>0</v>
      </c>
      <c r="AJ1931">
        <v>0</v>
      </c>
      <c r="AK1931">
        <v>300</v>
      </c>
      <c r="AL1931">
        <v>0</v>
      </c>
      <c r="AM1931">
        <v>0</v>
      </c>
      <c r="AN1931">
        <v>0</v>
      </c>
      <c r="AO1931">
        <v>0</v>
      </c>
      <c r="AP1931">
        <v>210</v>
      </c>
      <c r="AT1931" t="str">
        <f t="shared" si="331"/>
        <v>9791137602663</v>
      </c>
      <c r="AV1931" t="str">
        <f t="shared" si="332"/>
        <v>판타지 웹소설 &gt; 퓨전 판타지</v>
      </c>
    </row>
    <row r="1932" spans="1:48" x14ac:dyDescent="0.4">
      <c r="A1932">
        <v>2313012849</v>
      </c>
      <c r="B1932">
        <v>2313013164</v>
      </c>
      <c r="C1932" t="str">
        <f>T("디버프 마스터 316화")</f>
        <v>디버프 마스터 316화</v>
      </c>
      <c r="D1932" t="str">
        <f>T("316")</f>
        <v>316</v>
      </c>
      <c r="E1932" t="str">
        <f t="shared" si="329"/>
        <v>담화공</v>
      </c>
      <c r="H1932" t="str">
        <f t="shared" si="328"/>
        <v>스토리위즈</v>
      </c>
      <c r="I1932" t="str">
        <f t="shared" si="330"/>
        <v>디버프 마스터</v>
      </c>
      <c r="J1932">
        <v>100</v>
      </c>
      <c r="K1932">
        <v>300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300</v>
      </c>
      <c r="AH1932">
        <v>3</v>
      </c>
      <c r="AI1932">
        <v>0</v>
      </c>
      <c r="AJ1932">
        <v>0</v>
      </c>
      <c r="AK1932">
        <v>300</v>
      </c>
      <c r="AL1932">
        <v>0</v>
      </c>
      <c r="AM1932">
        <v>0</v>
      </c>
      <c r="AN1932">
        <v>0</v>
      </c>
      <c r="AO1932">
        <v>0</v>
      </c>
      <c r="AP1932">
        <v>210</v>
      </c>
      <c r="AT1932" t="str">
        <f t="shared" si="331"/>
        <v>9791137602663</v>
      </c>
      <c r="AV1932" t="str">
        <f t="shared" si="332"/>
        <v>판타지 웹소설 &gt; 퓨전 판타지</v>
      </c>
    </row>
    <row r="1933" spans="1:48" x14ac:dyDescent="0.4">
      <c r="A1933">
        <v>2313012849</v>
      </c>
      <c r="B1933">
        <v>2313013165</v>
      </c>
      <c r="C1933" t="str">
        <f>T("디버프 마스터 317화")</f>
        <v>디버프 마스터 317화</v>
      </c>
      <c r="D1933" t="str">
        <f>T("317")</f>
        <v>317</v>
      </c>
      <c r="E1933" t="str">
        <f t="shared" si="329"/>
        <v>담화공</v>
      </c>
      <c r="H1933" t="str">
        <f t="shared" si="328"/>
        <v>스토리위즈</v>
      </c>
      <c r="I1933" t="str">
        <f t="shared" si="330"/>
        <v>디버프 마스터</v>
      </c>
      <c r="J1933">
        <v>100</v>
      </c>
      <c r="K1933">
        <v>300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300</v>
      </c>
      <c r="AH1933">
        <v>3</v>
      </c>
      <c r="AI1933">
        <v>0</v>
      </c>
      <c r="AJ1933">
        <v>0</v>
      </c>
      <c r="AK1933">
        <v>300</v>
      </c>
      <c r="AL1933">
        <v>0</v>
      </c>
      <c r="AM1933">
        <v>0</v>
      </c>
      <c r="AN1933">
        <v>0</v>
      </c>
      <c r="AO1933">
        <v>0</v>
      </c>
      <c r="AP1933">
        <v>210</v>
      </c>
      <c r="AT1933" t="str">
        <f t="shared" si="331"/>
        <v>9791137602663</v>
      </c>
      <c r="AV1933" t="str">
        <f t="shared" si="332"/>
        <v>판타지 웹소설 &gt; 퓨전 판타지</v>
      </c>
    </row>
    <row r="1934" spans="1:48" x14ac:dyDescent="0.4">
      <c r="A1934">
        <v>2313012849</v>
      </c>
      <c r="B1934">
        <v>2313013166</v>
      </c>
      <c r="C1934" t="str">
        <f>T("디버프 마스터 318화")</f>
        <v>디버프 마스터 318화</v>
      </c>
      <c r="D1934" t="str">
        <f>T("318")</f>
        <v>318</v>
      </c>
      <c r="E1934" t="str">
        <f t="shared" si="329"/>
        <v>담화공</v>
      </c>
      <c r="H1934" t="str">
        <f t="shared" si="328"/>
        <v>스토리위즈</v>
      </c>
      <c r="I1934" t="str">
        <f t="shared" si="330"/>
        <v>디버프 마스터</v>
      </c>
      <c r="J1934">
        <v>100</v>
      </c>
      <c r="K1934">
        <v>300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300</v>
      </c>
      <c r="AH1934">
        <v>3</v>
      </c>
      <c r="AI1934">
        <v>0</v>
      </c>
      <c r="AJ1934">
        <v>0</v>
      </c>
      <c r="AK1934">
        <v>300</v>
      </c>
      <c r="AL1934">
        <v>0</v>
      </c>
      <c r="AM1934">
        <v>0</v>
      </c>
      <c r="AN1934">
        <v>0</v>
      </c>
      <c r="AO1934">
        <v>0</v>
      </c>
      <c r="AP1934">
        <v>210</v>
      </c>
      <c r="AT1934" t="str">
        <f t="shared" si="331"/>
        <v>9791137602663</v>
      </c>
      <c r="AV1934" t="str">
        <f t="shared" si="332"/>
        <v>판타지 웹소설 &gt; 퓨전 판타지</v>
      </c>
    </row>
    <row r="1935" spans="1:48" x14ac:dyDescent="0.4">
      <c r="A1935">
        <v>2313012849</v>
      </c>
      <c r="B1935">
        <v>2313013167</v>
      </c>
      <c r="C1935" t="str">
        <f>T("디버프 마스터 319화")</f>
        <v>디버프 마스터 319화</v>
      </c>
      <c r="D1935" t="str">
        <f>T("319")</f>
        <v>319</v>
      </c>
      <c r="E1935" t="str">
        <f t="shared" si="329"/>
        <v>담화공</v>
      </c>
      <c r="H1935" t="str">
        <f t="shared" si="328"/>
        <v>스토리위즈</v>
      </c>
      <c r="I1935" t="str">
        <f t="shared" si="330"/>
        <v>디버프 마스터</v>
      </c>
      <c r="J1935">
        <v>100</v>
      </c>
      <c r="K1935">
        <v>300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300</v>
      </c>
      <c r="AH1935">
        <v>3</v>
      </c>
      <c r="AI1935">
        <v>0</v>
      </c>
      <c r="AJ1935">
        <v>0</v>
      </c>
      <c r="AK1935">
        <v>300</v>
      </c>
      <c r="AL1935">
        <v>0</v>
      </c>
      <c r="AM1935">
        <v>0</v>
      </c>
      <c r="AN1935">
        <v>0</v>
      </c>
      <c r="AO1935">
        <v>0</v>
      </c>
      <c r="AP1935">
        <v>210</v>
      </c>
      <c r="AT1935" t="str">
        <f t="shared" si="331"/>
        <v>9791137602663</v>
      </c>
      <c r="AV1935" t="str">
        <f t="shared" si="332"/>
        <v>판타지 웹소설 &gt; 퓨전 판타지</v>
      </c>
    </row>
    <row r="1936" spans="1:48" x14ac:dyDescent="0.4">
      <c r="A1936">
        <v>2313012849</v>
      </c>
      <c r="B1936">
        <v>2313013168</v>
      </c>
      <c r="C1936" t="str">
        <f>T("디버프 마스터 320화")</f>
        <v>디버프 마스터 320화</v>
      </c>
      <c r="D1936" t="str">
        <f>T("320")</f>
        <v>320</v>
      </c>
      <c r="E1936" t="str">
        <f t="shared" si="329"/>
        <v>담화공</v>
      </c>
      <c r="H1936" t="str">
        <f t="shared" si="328"/>
        <v>스토리위즈</v>
      </c>
      <c r="I1936" t="str">
        <f t="shared" si="330"/>
        <v>디버프 마스터</v>
      </c>
      <c r="J1936">
        <v>100</v>
      </c>
      <c r="K1936">
        <v>300</v>
      </c>
      <c r="L1936">
        <v>3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300</v>
      </c>
      <c r="AH1936">
        <v>3</v>
      </c>
      <c r="AI1936">
        <v>0</v>
      </c>
      <c r="AJ1936">
        <v>0</v>
      </c>
      <c r="AK1936">
        <v>300</v>
      </c>
      <c r="AL1936">
        <v>0</v>
      </c>
      <c r="AM1936">
        <v>0</v>
      </c>
      <c r="AN1936">
        <v>0</v>
      </c>
      <c r="AO1936">
        <v>0</v>
      </c>
      <c r="AP1936">
        <v>210</v>
      </c>
      <c r="AT1936" t="str">
        <f t="shared" si="331"/>
        <v>9791137602663</v>
      </c>
      <c r="AV1936" t="str">
        <f t="shared" si="332"/>
        <v>판타지 웹소설 &gt; 퓨전 판타지</v>
      </c>
    </row>
    <row r="1937" spans="1:49" x14ac:dyDescent="0.4">
      <c r="A1937">
        <v>2313012849</v>
      </c>
      <c r="B1937">
        <v>2313013169</v>
      </c>
      <c r="C1937" t="str">
        <f>T("디버프 마스터 321화")</f>
        <v>디버프 마스터 321화</v>
      </c>
      <c r="D1937" t="str">
        <f>T("321")</f>
        <v>321</v>
      </c>
      <c r="E1937" t="str">
        <f t="shared" si="329"/>
        <v>담화공</v>
      </c>
      <c r="H1937" t="str">
        <f t="shared" ref="H1937:H1947" si="333">T("스토리위즈")</f>
        <v>스토리위즈</v>
      </c>
      <c r="I1937" t="str">
        <f t="shared" si="330"/>
        <v>디버프 마스터</v>
      </c>
      <c r="J1937">
        <v>100</v>
      </c>
      <c r="K1937">
        <v>300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300</v>
      </c>
      <c r="AH1937">
        <v>3</v>
      </c>
      <c r="AI1937">
        <v>0</v>
      </c>
      <c r="AJ1937">
        <v>0</v>
      </c>
      <c r="AK1937">
        <v>300</v>
      </c>
      <c r="AL1937">
        <v>0</v>
      </c>
      <c r="AM1937">
        <v>0</v>
      </c>
      <c r="AN1937">
        <v>0</v>
      </c>
      <c r="AO1937">
        <v>0</v>
      </c>
      <c r="AP1937">
        <v>210</v>
      </c>
      <c r="AT1937" t="str">
        <f t="shared" si="331"/>
        <v>9791137602663</v>
      </c>
      <c r="AV1937" t="str">
        <f t="shared" si="332"/>
        <v>판타지 웹소설 &gt; 퓨전 판타지</v>
      </c>
    </row>
    <row r="1938" spans="1:49" x14ac:dyDescent="0.4">
      <c r="A1938">
        <v>2313012849</v>
      </c>
      <c r="B1938">
        <v>2313013170</v>
      </c>
      <c r="C1938" t="str">
        <f>T("디버프 마스터 322화")</f>
        <v>디버프 마스터 322화</v>
      </c>
      <c r="D1938" t="str">
        <f>T("322")</f>
        <v>322</v>
      </c>
      <c r="E1938" t="str">
        <f t="shared" si="329"/>
        <v>담화공</v>
      </c>
      <c r="H1938" t="str">
        <f t="shared" si="333"/>
        <v>스토리위즈</v>
      </c>
      <c r="I1938" t="str">
        <f t="shared" si="330"/>
        <v>디버프 마스터</v>
      </c>
      <c r="J1938">
        <v>100</v>
      </c>
      <c r="K1938">
        <v>300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300</v>
      </c>
      <c r="AH1938">
        <v>3</v>
      </c>
      <c r="AI1938">
        <v>0</v>
      </c>
      <c r="AJ1938">
        <v>0</v>
      </c>
      <c r="AK1938">
        <v>300</v>
      </c>
      <c r="AL1938">
        <v>0</v>
      </c>
      <c r="AM1938">
        <v>0</v>
      </c>
      <c r="AN1938">
        <v>0</v>
      </c>
      <c r="AO1938">
        <v>0</v>
      </c>
      <c r="AP1938">
        <v>210</v>
      </c>
      <c r="AT1938" t="str">
        <f t="shared" si="331"/>
        <v>9791137602663</v>
      </c>
      <c r="AV1938" t="str">
        <f t="shared" si="332"/>
        <v>판타지 웹소설 &gt; 퓨전 판타지</v>
      </c>
    </row>
    <row r="1939" spans="1:49" x14ac:dyDescent="0.4">
      <c r="A1939">
        <v>2313012849</v>
      </c>
      <c r="B1939">
        <v>2313013171</v>
      </c>
      <c r="C1939" t="str">
        <f>T("디버프 마스터 323화")</f>
        <v>디버프 마스터 323화</v>
      </c>
      <c r="D1939" t="str">
        <f>T("323")</f>
        <v>323</v>
      </c>
      <c r="E1939" t="str">
        <f t="shared" si="329"/>
        <v>담화공</v>
      </c>
      <c r="H1939" t="str">
        <f t="shared" si="333"/>
        <v>스토리위즈</v>
      </c>
      <c r="I1939" t="str">
        <f t="shared" si="330"/>
        <v>디버프 마스터</v>
      </c>
      <c r="J1939">
        <v>100</v>
      </c>
      <c r="K1939">
        <v>300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300</v>
      </c>
      <c r="AH1939">
        <v>3</v>
      </c>
      <c r="AI1939">
        <v>0</v>
      </c>
      <c r="AJ1939">
        <v>0</v>
      </c>
      <c r="AK1939">
        <v>300</v>
      </c>
      <c r="AL1939">
        <v>0</v>
      </c>
      <c r="AM1939">
        <v>0</v>
      </c>
      <c r="AN1939">
        <v>0</v>
      </c>
      <c r="AO1939">
        <v>0</v>
      </c>
      <c r="AP1939">
        <v>210</v>
      </c>
      <c r="AT1939" t="str">
        <f t="shared" si="331"/>
        <v>9791137602663</v>
      </c>
      <c r="AV1939" t="str">
        <f t="shared" si="332"/>
        <v>판타지 웹소설 &gt; 퓨전 판타지</v>
      </c>
    </row>
    <row r="1940" spans="1:49" x14ac:dyDescent="0.4">
      <c r="A1940">
        <v>2313012849</v>
      </c>
      <c r="B1940">
        <v>2313013172</v>
      </c>
      <c r="C1940" t="str">
        <f>T("디버프 마스터 324화")</f>
        <v>디버프 마스터 324화</v>
      </c>
      <c r="D1940" t="str">
        <f>T("324")</f>
        <v>324</v>
      </c>
      <c r="E1940" t="str">
        <f t="shared" si="329"/>
        <v>담화공</v>
      </c>
      <c r="H1940" t="str">
        <f t="shared" si="333"/>
        <v>스토리위즈</v>
      </c>
      <c r="I1940" t="str">
        <f t="shared" si="330"/>
        <v>디버프 마스터</v>
      </c>
      <c r="J1940">
        <v>100</v>
      </c>
      <c r="K1940">
        <v>300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300</v>
      </c>
      <c r="AH1940">
        <v>3</v>
      </c>
      <c r="AI1940">
        <v>0</v>
      </c>
      <c r="AJ1940">
        <v>0</v>
      </c>
      <c r="AK1940">
        <v>300</v>
      </c>
      <c r="AL1940">
        <v>0</v>
      </c>
      <c r="AM1940">
        <v>0</v>
      </c>
      <c r="AN1940">
        <v>0</v>
      </c>
      <c r="AO1940">
        <v>0</v>
      </c>
      <c r="AP1940">
        <v>210</v>
      </c>
      <c r="AT1940" t="str">
        <f t="shared" si="331"/>
        <v>9791137602663</v>
      </c>
      <c r="AV1940" t="str">
        <f t="shared" si="332"/>
        <v>판타지 웹소설 &gt; 퓨전 판타지</v>
      </c>
    </row>
    <row r="1941" spans="1:49" x14ac:dyDescent="0.4">
      <c r="A1941">
        <v>2313012849</v>
      </c>
      <c r="B1941">
        <v>2313013173</v>
      </c>
      <c r="C1941" t="str">
        <f>T("디버프 마스터 325화")</f>
        <v>디버프 마스터 325화</v>
      </c>
      <c r="D1941" t="str">
        <f>T("325")</f>
        <v>325</v>
      </c>
      <c r="E1941" t="str">
        <f t="shared" si="329"/>
        <v>담화공</v>
      </c>
      <c r="H1941" t="str">
        <f t="shared" si="333"/>
        <v>스토리위즈</v>
      </c>
      <c r="I1941" t="str">
        <f t="shared" si="330"/>
        <v>디버프 마스터</v>
      </c>
      <c r="J1941">
        <v>100</v>
      </c>
      <c r="K1941">
        <v>300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300</v>
      </c>
      <c r="AH1941">
        <v>3</v>
      </c>
      <c r="AI1941">
        <v>0</v>
      </c>
      <c r="AJ1941">
        <v>0</v>
      </c>
      <c r="AK1941">
        <v>300</v>
      </c>
      <c r="AL1941">
        <v>0</v>
      </c>
      <c r="AM1941">
        <v>0</v>
      </c>
      <c r="AN1941">
        <v>0</v>
      </c>
      <c r="AO1941">
        <v>0</v>
      </c>
      <c r="AP1941">
        <v>210</v>
      </c>
      <c r="AT1941" t="str">
        <f t="shared" si="331"/>
        <v>9791137602663</v>
      </c>
      <c r="AV1941" t="str">
        <f t="shared" si="332"/>
        <v>판타지 웹소설 &gt; 퓨전 판타지</v>
      </c>
    </row>
    <row r="1942" spans="1:49" x14ac:dyDescent="0.4">
      <c r="A1942">
        <v>2313012849</v>
      </c>
      <c r="B1942">
        <v>2313013174</v>
      </c>
      <c r="C1942" t="str">
        <f>T("디버프 마스터 326화")</f>
        <v>디버프 마스터 326화</v>
      </c>
      <c r="D1942" t="str">
        <f>T("326")</f>
        <v>326</v>
      </c>
      <c r="E1942" t="str">
        <f t="shared" si="329"/>
        <v>담화공</v>
      </c>
      <c r="H1942" t="str">
        <f t="shared" si="333"/>
        <v>스토리위즈</v>
      </c>
      <c r="I1942" t="str">
        <f t="shared" si="330"/>
        <v>디버프 마스터</v>
      </c>
      <c r="J1942">
        <v>100</v>
      </c>
      <c r="K1942">
        <v>300</v>
      </c>
      <c r="L1942">
        <v>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300</v>
      </c>
      <c r="AH1942">
        <v>3</v>
      </c>
      <c r="AI1942">
        <v>0</v>
      </c>
      <c r="AJ1942">
        <v>0</v>
      </c>
      <c r="AK1942">
        <v>300</v>
      </c>
      <c r="AL1942">
        <v>0</v>
      </c>
      <c r="AM1942">
        <v>0</v>
      </c>
      <c r="AN1942">
        <v>0</v>
      </c>
      <c r="AO1942">
        <v>0</v>
      </c>
      <c r="AP1942">
        <v>210</v>
      </c>
      <c r="AT1942" t="str">
        <f t="shared" si="331"/>
        <v>9791137602663</v>
      </c>
      <c r="AV1942" t="str">
        <f t="shared" si="332"/>
        <v>판타지 웹소설 &gt; 퓨전 판타지</v>
      </c>
    </row>
    <row r="1943" spans="1:49" x14ac:dyDescent="0.4">
      <c r="A1943">
        <v>2313012849</v>
      </c>
      <c r="B1943">
        <v>2313013175</v>
      </c>
      <c r="C1943" t="str">
        <f>T("디버프 마스터 327화")</f>
        <v>디버프 마스터 327화</v>
      </c>
      <c r="D1943" t="str">
        <f>T("327")</f>
        <v>327</v>
      </c>
      <c r="E1943" t="str">
        <f t="shared" si="329"/>
        <v>담화공</v>
      </c>
      <c r="H1943" t="str">
        <f t="shared" si="333"/>
        <v>스토리위즈</v>
      </c>
      <c r="I1943" t="str">
        <f t="shared" si="330"/>
        <v>디버프 마스터</v>
      </c>
      <c r="J1943">
        <v>100</v>
      </c>
      <c r="K1943">
        <v>300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300</v>
      </c>
      <c r="AH1943">
        <v>3</v>
      </c>
      <c r="AI1943">
        <v>0</v>
      </c>
      <c r="AJ1943">
        <v>0</v>
      </c>
      <c r="AK1943">
        <v>300</v>
      </c>
      <c r="AL1943">
        <v>0</v>
      </c>
      <c r="AM1943">
        <v>0</v>
      </c>
      <c r="AN1943">
        <v>0</v>
      </c>
      <c r="AO1943">
        <v>0</v>
      </c>
      <c r="AP1943">
        <v>210</v>
      </c>
      <c r="AT1943" t="str">
        <f t="shared" si="331"/>
        <v>9791137602663</v>
      </c>
      <c r="AV1943" t="str">
        <f t="shared" si="332"/>
        <v>판타지 웹소설 &gt; 퓨전 판타지</v>
      </c>
    </row>
    <row r="1944" spans="1:49" x14ac:dyDescent="0.4">
      <c r="A1944">
        <v>2313012849</v>
      </c>
      <c r="B1944">
        <v>2313013176</v>
      </c>
      <c r="C1944" t="str">
        <f>T("디버프 마스터 328화")</f>
        <v>디버프 마스터 328화</v>
      </c>
      <c r="D1944" t="str">
        <f>T("328")</f>
        <v>328</v>
      </c>
      <c r="E1944" t="str">
        <f t="shared" si="329"/>
        <v>담화공</v>
      </c>
      <c r="H1944" t="str">
        <f t="shared" si="333"/>
        <v>스토리위즈</v>
      </c>
      <c r="I1944" t="str">
        <f t="shared" si="330"/>
        <v>디버프 마스터</v>
      </c>
      <c r="J1944">
        <v>100</v>
      </c>
      <c r="K1944">
        <v>300</v>
      </c>
      <c r="L1944">
        <v>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300</v>
      </c>
      <c r="AH1944">
        <v>3</v>
      </c>
      <c r="AI1944">
        <v>0</v>
      </c>
      <c r="AJ1944">
        <v>0</v>
      </c>
      <c r="AK1944">
        <v>300</v>
      </c>
      <c r="AL1944">
        <v>0</v>
      </c>
      <c r="AM1944">
        <v>0</v>
      </c>
      <c r="AN1944">
        <v>0</v>
      </c>
      <c r="AO1944">
        <v>0</v>
      </c>
      <c r="AP1944">
        <v>210</v>
      </c>
      <c r="AT1944" t="str">
        <f t="shared" si="331"/>
        <v>9791137602663</v>
      </c>
      <c r="AV1944" t="str">
        <f t="shared" si="332"/>
        <v>판타지 웹소설 &gt; 퓨전 판타지</v>
      </c>
    </row>
    <row r="1945" spans="1:49" x14ac:dyDescent="0.4">
      <c r="A1945">
        <v>2313012849</v>
      </c>
      <c r="B1945">
        <v>2313013177</v>
      </c>
      <c r="C1945" t="str">
        <f>T("디버프 마스터 329화")</f>
        <v>디버프 마스터 329화</v>
      </c>
      <c r="D1945" t="str">
        <f>T("329")</f>
        <v>329</v>
      </c>
      <c r="E1945" t="str">
        <f t="shared" si="329"/>
        <v>담화공</v>
      </c>
      <c r="H1945" t="str">
        <f t="shared" si="333"/>
        <v>스토리위즈</v>
      </c>
      <c r="I1945" t="str">
        <f t="shared" si="330"/>
        <v>디버프 마스터</v>
      </c>
      <c r="J1945">
        <v>100</v>
      </c>
      <c r="K1945">
        <v>300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300</v>
      </c>
      <c r="AH1945">
        <v>3</v>
      </c>
      <c r="AI1945">
        <v>0</v>
      </c>
      <c r="AJ1945">
        <v>0</v>
      </c>
      <c r="AK1945">
        <v>300</v>
      </c>
      <c r="AL1945">
        <v>0</v>
      </c>
      <c r="AM1945">
        <v>0</v>
      </c>
      <c r="AN1945">
        <v>0</v>
      </c>
      <c r="AO1945">
        <v>0</v>
      </c>
      <c r="AP1945">
        <v>210</v>
      </c>
      <c r="AT1945" t="str">
        <f t="shared" si="331"/>
        <v>9791137602663</v>
      </c>
      <c r="AV1945" t="str">
        <f t="shared" si="332"/>
        <v>판타지 웹소설 &gt; 퓨전 판타지</v>
      </c>
    </row>
    <row r="1946" spans="1:49" x14ac:dyDescent="0.4">
      <c r="A1946">
        <v>2313016617</v>
      </c>
      <c r="B1946">
        <v>2313016667</v>
      </c>
      <c r="C1946" t="str">
        <f>T("올마스터가 된 비전서고 51화")</f>
        <v>올마스터가 된 비전서고 51화</v>
      </c>
      <c r="D1946" t="str">
        <f>T("51")</f>
        <v>51</v>
      </c>
      <c r="E1946" t="str">
        <f>T("글면증")</f>
        <v>글면증</v>
      </c>
      <c r="H1946" t="str">
        <f t="shared" si="333"/>
        <v>스토리위즈</v>
      </c>
      <c r="I1946" t="str">
        <f>T("올마스터가 된 비전서고")</f>
        <v>올마스터가 된 비전서고</v>
      </c>
      <c r="J1946">
        <v>100</v>
      </c>
      <c r="K1946">
        <v>300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300</v>
      </c>
      <c r="AH1946">
        <v>3</v>
      </c>
      <c r="AI1946">
        <v>0</v>
      </c>
      <c r="AJ1946">
        <v>0</v>
      </c>
      <c r="AK1946">
        <v>300</v>
      </c>
      <c r="AL1946">
        <v>0</v>
      </c>
      <c r="AM1946">
        <v>0</v>
      </c>
      <c r="AN1946">
        <v>0</v>
      </c>
      <c r="AO1946">
        <v>0</v>
      </c>
      <c r="AP1946">
        <v>210</v>
      </c>
      <c r="AT1946" t="str">
        <f>T("9791137601314")</f>
        <v>9791137601314</v>
      </c>
      <c r="AV1946" t="str">
        <f t="shared" si="332"/>
        <v>판타지 웹소설 &gt; 퓨전 판타지</v>
      </c>
    </row>
    <row r="1947" spans="1:49" x14ac:dyDescent="0.4">
      <c r="A1947">
        <v>2313016617</v>
      </c>
      <c r="B1947">
        <v>2313016668</v>
      </c>
      <c r="C1947" t="str">
        <f>T("올마스터가 된 비전서고 52화")</f>
        <v>올마스터가 된 비전서고 52화</v>
      </c>
      <c r="D1947" t="str">
        <f>T("52")</f>
        <v>52</v>
      </c>
      <c r="E1947" t="str">
        <f>T("글면증")</f>
        <v>글면증</v>
      </c>
      <c r="H1947" t="str">
        <f t="shared" si="333"/>
        <v>스토리위즈</v>
      </c>
      <c r="I1947" t="str">
        <f>T("올마스터가 된 비전서고")</f>
        <v>올마스터가 된 비전서고</v>
      </c>
      <c r="J1947">
        <v>100</v>
      </c>
      <c r="K1947">
        <v>300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300</v>
      </c>
      <c r="AH1947">
        <v>3</v>
      </c>
      <c r="AI1947">
        <v>0</v>
      </c>
      <c r="AJ1947">
        <v>0</v>
      </c>
      <c r="AK1947">
        <v>300</v>
      </c>
      <c r="AL1947">
        <v>0</v>
      </c>
      <c r="AM1947">
        <v>0</v>
      </c>
      <c r="AN1947">
        <v>0</v>
      </c>
      <c r="AO1947">
        <v>0</v>
      </c>
      <c r="AP1947">
        <v>210</v>
      </c>
      <c r="AT1947" t="str">
        <f>T("9791137601314")</f>
        <v>9791137601314</v>
      </c>
      <c r="AV1947" t="str">
        <f t="shared" si="332"/>
        <v>판타지 웹소설 &gt; 퓨전 판타지</v>
      </c>
    </row>
    <row r="1948" spans="1:49" x14ac:dyDescent="0.4">
      <c r="A1948">
        <v>2313016904</v>
      </c>
      <c r="B1948">
        <v>2313016901</v>
      </c>
      <c r="C1948" t="str">
        <f>T("[e북]야릇한 그놈 (외전증보판) (외전)")</f>
        <v>[e북]야릇한 그놈 (외전증보판) (외전)</v>
      </c>
      <c r="D1948" t="str">
        <f>T("4")</f>
        <v>4</v>
      </c>
      <c r="E1948" t="str">
        <f>T("해달화영")</f>
        <v>해달화영</v>
      </c>
      <c r="H1948" t="str">
        <f t="shared" ref="H1948:H1954" si="334">T("도서출판 태랑")</f>
        <v>도서출판 태랑</v>
      </c>
      <c r="I1948" t="str">
        <f>T("[e북]야릇한 그놈 (외전증보판)")</f>
        <v>[e북]야릇한 그놈 (외전증보판)</v>
      </c>
      <c r="J1948">
        <v>300</v>
      </c>
      <c r="K1948">
        <v>300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300</v>
      </c>
      <c r="AH1948">
        <v>1</v>
      </c>
      <c r="AI1948">
        <v>0</v>
      </c>
      <c r="AJ1948">
        <v>0</v>
      </c>
      <c r="AK1948">
        <v>300</v>
      </c>
      <c r="AL1948">
        <v>0</v>
      </c>
      <c r="AM1948">
        <v>0</v>
      </c>
      <c r="AN1948">
        <v>0</v>
      </c>
      <c r="AO1948">
        <v>0</v>
      </c>
      <c r="AP1948">
        <v>210</v>
      </c>
      <c r="AT1948" t="str">
        <f>T("9791164373987")</f>
        <v>9791164373987</v>
      </c>
      <c r="AV1948" t="str">
        <f>T("로맨스 e북 &gt; 현대물")</f>
        <v>로맨스 e북 &gt; 현대물</v>
      </c>
    </row>
    <row r="1949" spans="1:49" x14ac:dyDescent="0.4">
      <c r="A1949">
        <v>2313016963</v>
      </c>
      <c r="B1949">
        <v>2313016961</v>
      </c>
      <c r="C1949" t="str">
        <f>T("[e북]본능에 눈뜨다 (외전증보 개정판) (외전)")</f>
        <v>[e북]본능에 눈뜨다 (외전증보 개정판) (외전)</v>
      </c>
      <c r="D1949" t="str">
        <f>T("3")</f>
        <v>3</v>
      </c>
      <c r="E1949" t="str">
        <f>T("허니레몬")</f>
        <v>허니레몬</v>
      </c>
      <c r="H1949" t="str">
        <f t="shared" si="334"/>
        <v>도서출판 태랑</v>
      </c>
      <c r="I1949" t="str">
        <f>T("[e북]본능에 눈뜨다 (외전증보 개정판)")</f>
        <v>[e북]본능에 눈뜨다 (외전증보 개정판)</v>
      </c>
      <c r="J1949">
        <v>300</v>
      </c>
      <c r="K1949">
        <v>300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300</v>
      </c>
      <c r="AH1949">
        <v>1</v>
      </c>
      <c r="AI1949">
        <v>0</v>
      </c>
      <c r="AJ1949">
        <v>0</v>
      </c>
      <c r="AK1949">
        <v>300</v>
      </c>
      <c r="AL1949">
        <v>0</v>
      </c>
      <c r="AM1949">
        <v>0</v>
      </c>
      <c r="AN1949">
        <v>0</v>
      </c>
      <c r="AO1949">
        <v>0</v>
      </c>
      <c r="AP1949">
        <v>210</v>
      </c>
      <c r="AT1949" t="str">
        <f>T("9791164372645")</f>
        <v>9791164372645</v>
      </c>
      <c r="AV1949" t="str">
        <f>T("로맨스 e북 &gt; 현대물")</f>
        <v>로맨스 e북 &gt; 현대물</v>
      </c>
    </row>
    <row r="1950" spans="1:49" x14ac:dyDescent="0.4">
      <c r="A1950">
        <v>2313016967</v>
      </c>
      <c r="B1950">
        <v>2313016964</v>
      </c>
      <c r="C1950" t="str">
        <f>T("[e북]바랑둥이 내 남자 (외전증보판) (외전)")</f>
        <v>[e북]바랑둥이 내 남자 (외전증보판) (외전)</v>
      </c>
      <c r="D1950" t="str">
        <f>T("4")</f>
        <v>4</v>
      </c>
      <c r="E1950" t="str">
        <f>T("밈스")</f>
        <v>밈스</v>
      </c>
      <c r="H1950" t="str">
        <f t="shared" si="334"/>
        <v>도서출판 태랑</v>
      </c>
      <c r="I1950" t="str">
        <f>T("[e북]바랑둥이 내 남자 (외전증보판)")</f>
        <v>[e북]바랑둥이 내 남자 (외전증보판)</v>
      </c>
      <c r="J1950">
        <v>300</v>
      </c>
      <c r="K1950">
        <v>300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300</v>
      </c>
      <c r="AH1950">
        <v>1</v>
      </c>
      <c r="AI1950">
        <v>0</v>
      </c>
      <c r="AJ1950">
        <v>0</v>
      </c>
      <c r="AK1950">
        <v>300</v>
      </c>
      <c r="AL1950">
        <v>0</v>
      </c>
      <c r="AM1950">
        <v>0</v>
      </c>
      <c r="AN1950">
        <v>0</v>
      </c>
      <c r="AO1950">
        <v>0</v>
      </c>
      <c r="AP1950">
        <v>210</v>
      </c>
      <c r="AT1950" t="str">
        <f>T("9791164372546")</f>
        <v>9791164372546</v>
      </c>
      <c r="AV1950" t="str">
        <f>T("로맨스 e북 &gt; 현대물")</f>
        <v>로맨스 e북 &gt; 현대물</v>
      </c>
      <c r="AW1950" t="str">
        <f>T("로맨스 e북 &gt; 19+")</f>
        <v>로맨스 e북 &gt; 19+</v>
      </c>
    </row>
    <row r="1951" spans="1:49" x14ac:dyDescent="0.4">
      <c r="A1951">
        <v>2313017011</v>
      </c>
      <c r="B1951">
        <v>2313017008</v>
      </c>
      <c r="C1951" t="str">
        <f>T("[e북]친구의 고백 (외전증보판) (외전)")</f>
        <v>[e북]친구의 고백 (외전증보판) (외전)</v>
      </c>
      <c r="D1951" t="str">
        <f>T("4")</f>
        <v>4</v>
      </c>
      <c r="E1951" t="str">
        <f>T("빵양이")</f>
        <v>빵양이</v>
      </c>
      <c r="H1951" t="str">
        <f t="shared" si="334"/>
        <v>도서출판 태랑</v>
      </c>
      <c r="I1951" t="str">
        <f>T("[e북]친구의 고백 (외전증보판)")</f>
        <v>[e북]친구의 고백 (외전증보판)</v>
      </c>
      <c r="J1951">
        <v>300</v>
      </c>
      <c r="K1951">
        <v>300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300</v>
      </c>
      <c r="AH1951">
        <v>1</v>
      </c>
      <c r="AI1951">
        <v>0</v>
      </c>
      <c r="AJ1951">
        <v>0</v>
      </c>
      <c r="AK1951">
        <v>300</v>
      </c>
      <c r="AL1951">
        <v>0</v>
      </c>
      <c r="AM1951">
        <v>0</v>
      </c>
      <c r="AN1951">
        <v>0</v>
      </c>
      <c r="AO1951">
        <v>0</v>
      </c>
      <c r="AP1951">
        <v>210</v>
      </c>
      <c r="AT1951" t="str">
        <f>T("9791164371969")</f>
        <v>9791164371969</v>
      </c>
      <c r="AV1951" t="str">
        <f>T("로맨스 e북 &gt; 현대물")</f>
        <v>로맨스 e북 &gt; 현대물</v>
      </c>
      <c r="AW1951" t="str">
        <f>T("로맨스 e북 &gt; 19+")</f>
        <v>로맨스 e북 &gt; 19+</v>
      </c>
    </row>
    <row r="1952" spans="1:49" x14ac:dyDescent="0.4">
      <c r="A1952">
        <v>2313017042</v>
      </c>
      <c r="B1952">
        <v>2313017015</v>
      </c>
      <c r="C1952" t="str">
        <f>T("[e북]마침내, 열애 중 (외전)")</f>
        <v>[e북]마침내, 열애 중 (외전)</v>
      </c>
      <c r="D1952" t="str">
        <f>T("3")</f>
        <v>3</v>
      </c>
      <c r="E1952" t="str">
        <f>T("김사라")</f>
        <v>김사라</v>
      </c>
      <c r="H1952" t="str">
        <f t="shared" si="334"/>
        <v>도서출판 태랑</v>
      </c>
      <c r="I1952" t="str">
        <f>T("[e북]마침내, 열애 중")</f>
        <v>[e북]마침내, 열애 중</v>
      </c>
      <c r="J1952">
        <v>300</v>
      </c>
      <c r="K1952">
        <v>300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300</v>
      </c>
      <c r="AH1952">
        <v>1</v>
      </c>
      <c r="AI1952">
        <v>0</v>
      </c>
      <c r="AJ1952">
        <v>0</v>
      </c>
      <c r="AK1952">
        <v>300</v>
      </c>
      <c r="AL1952">
        <v>0</v>
      </c>
      <c r="AM1952">
        <v>0</v>
      </c>
      <c r="AN1952">
        <v>0</v>
      </c>
      <c r="AO1952">
        <v>0</v>
      </c>
      <c r="AP1952">
        <v>210</v>
      </c>
      <c r="AT1952" t="str">
        <f>T("9791164371822")</f>
        <v>9791164371822</v>
      </c>
      <c r="AV1952" t="str">
        <f>T("BL 소설 e북 &gt; 현대물")</f>
        <v>BL 소설 e북 &gt; 현대물</v>
      </c>
    </row>
    <row r="1953" spans="1:48" x14ac:dyDescent="0.4">
      <c r="A1953">
        <v>2313017050</v>
      </c>
      <c r="B1953">
        <v>2313017020</v>
      </c>
      <c r="C1953" t="str">
        <f>T("[e북]사라족의 간택 (삽화본) (외전)")</f>
        <v>[e북]사라족의 간택 (삽화본) (외전)</v>
      </c>
      <c r="D1953" t="str">
        <f>T("3")</f>
        <v>3</v>
      </c>
      <c r="E1953" t="str">
        <f>T("모리미")</f>
        <v>모리미</v>
      </c>
      <c r="H1953" t="str">
        <f t="shared" si="334"/>
        <v>도서출판 태랑</v>
      </c>
      <c r="I1953" t="str">
        <f>T("[e북]사라족의 간택 (삽화본)")</f>
        <v>[e북]사라족의 간택 (삽화본)</v>
      </c>
      <c r="J1953">
        <v>300</v>
      </c>
      <c r="K1953">
        <v>300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300</v>
      </c>
      <c r="AH1953">
        <v>1</v>
      </c>
      <c r="AI1953">
        <v>0</v>
      </c>
      <c r="AJ1953">
        <v>0</v>
      </c>
      <c r="AK1953">
        <v>300</v>
      </c>
      <c r="AL1953">
        <v>0</v>
      </c>
      <c r="AM1953">
        <v>0</v>
      </c>
      <c r="AN1953">
        <v>0</v>
      </c>
      <c r="AO1953">
        <v>0</v>
      </c>
      <c r="AP1953">
        <v>210</v>
      </c>
      <c r="AT1953" t="str">
        <f>T("9791164371655")</f>
        <v>9791164371655</v>
      </c>
      <c r="AV1953" t="str">
        <f>T("BL 소설 e북 &gt; 현대물")</f>
        <v>BL 소설 e북 &gt; 현대물</v>
      </c>
    </row>
    <row r="1954" spans="1:48" x14ac:dyDescent="0.4">
      <c r="A1954">
        <v>2313017128</v>
      </c>
      <c r="B1954">
        <v>2313017108</v>
      </c>
      <c r="C1954" t="str">
        <f>T("[e북]선 베타 후 오메가 (외전)")</f>
        <v>[e북]선 베타 후 오메가 (외전)</v>
      </c>
      <c r="D1954" t="str">
        <f>T("3")</f>
        <v>3</v>
      </c>
      <c r="E1954" t="str">
        <f>T("주이서")</f>
        <v>주이서</v>
      </c>
      <c r="H1954" t="str">
        <f t="shared" si="334"/>
        <v>도서출판 태랑</v>
      </c>
      <c r="I1954" t="str">
        <f>T("[e북]선 베타 후 오메가")</f>
        <v>[e북]선 베타 후 오메가</v>
      </c>
      <c r="J1954">
        <v>300</v>
      </c>
      <c r="K1954">
        <v>300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300</v>
      </c>
      <c r="AH1954">
        <v>1</v>
      </c>
      <c r="AI1954">
        <v>0</v>
      </c>
      <c r="AJ1954">
        <v>0</v>
      </c>
      <c r="AK1954">
        <v>300</v>
      </c>
      <c r="AL1954">
        <v>0</v>
      </c>
      <c r="AM1954">
        <v>0</v>
      </c>
      <c r="AN1954">
        <v>0</v>
      </c>
      <c r="AO1954">
        <v>0</v>
      </c>
      <c r="AP1954">
        <v>210</v>
      </c>
      <c r="AT1954" t="str">
        <f>T("9791189627362")</f>
        <v>9791189627362</v>
      </c>
      <c r="AV1954" t="str">
        <f>T("BL 소설 e북 &gt; 현대물")</f>
        <v>BL 소설 e북 &gt; 현대물</v>
      </c>
    </row>
    <row r="1955" spans="1:48" x14ac:dyDescent="0.4">
      <c r="A1955">
        <v>2313017252</v>
      </c>
      <c r="B1955">
        <v>2313017285</v>
      </c>
      <c r="C1955" t="str">
        <f>T("신들의 알바나라 34화")</f>
        <v>신들의 알바나라 34화</v>
      </c>
      <c r="D1955" t="str">
        <f>T("34")</f>
        <v>34</v>
      </c>
      <c r="E1955" t="str">
        <f>T("갓띵작")</f>
        <v>갓띵작</v>
      </c>
      <c r="H1955" t="str">
        <f t="shared" ref="H1955:H2018" si="335">T("스토리위즈")</f>
        <v>스토리위즈</v>
      </c>
      <c r="I1955" t="str">
        <f>T("신들의 알바나라")</f>
        <v>신들의 알바나라</v>
      </c>
      <c r="J1955">
        <v>100</v>
      </c>
      <c r="K1955">
        <v>300</v>
      </c>
      <c r="L1955">
        <v>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300</v>
      </c>
      <c r="AH1955">
        <v>3</v>
      </c>
      <c r="AI1955">
        <v>0</v>
      </c>
      <c r="AJ1955">
        <v>0</v>
      </c>
      <c r="AK1955">
        <v>300</v>
      </c>
      <c r="AL1955">
        <v>0</v>
      </c>
      <c r="AM1955">
        <v>0</v>
      </c>
      <c r="AN1955">
        <v>0</v>
      </c>
      <c r="AO1955">
        <v>0</v>
      </c>
      <c r="AP1955">
        <v>210</v>
      </c>
      <c r="AT1955" t="str">
        <f>T("9791137603950")</f>
        <v>9791137603950</v>
      </c>
      <c r="AV1955" t="str">
        <f>T("판타지 웹소설 &gt; 퓨전 판타지")</f>
        <v>판타지 웹소설 &gt; 퓨전 판타지</v>
      </c>
    </row>
    <row r="1956" spans="1:48" x14ac:dyDescent="0.4">
      <c r="A1956">
        <v>2313017252</v>
      </c>
      <c r="B1956">
        <v>2313017286</v>
      </c>
      <c r="C1956" t="str">
        <f>T("신들의 알바나라 35화")</f>
        <v>신들의 알바나라 35화</v>
      </c>
      <c r="D1956" t="str">
        <f>T("35")</f>
        <v>35</v>
      </c>
      <c r="E1956" t="str">
        <f>T("갓띵작")</f>
        <v>갓띵작</v>
      </c>
      <c r="H1956" t="str">
        <f t="shared" si="335"/>
        <v>스토리위즈</v>
      </c>
      <c r="I1956" t="str">
        <f>T("신들의 알바나라")</f>
        <v>신들의 알바나라</v>
      </c>
      <c r="J1956">
        <v>100</v>
      </c>
      <c r="K1956">
        <v>300</v>
      </c>
      <c r="L1956">
        <v>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300</v>
      </c>
      <c r="AH1956">
        <v>3</v>
      </c>
      <c r="AI1956">
        <v>0</v>
      </c>
      <c r="AJ1956">
        <v>0</v>
      </c>
      <c r="AK1956">
        <v>300</v>
      </c>
      <c r="AL1956">
        <v>0</v>
      </c>
      <c r="AM1956">
        <v>0</v>
      </c>
      <c r="AN1956">
        <v>0</v>
      </c>
      <c r="AO1956">
        <v>0</v>
      </c>
      <c r="AP1956">
        <v>210</v>
      </c>
      <c r="AT1956" t="str">
        <f>T("9791137603950")</f>
        <v>9791137603950</v>
      </c>
      <c r="AV1956" t="str">
        <f>T("판타지 웹소설 &gt; 퓨전 판타지")</f>
        <v>판타지 웹소설 &gt; 퓨전 판타지</v>
      </c>
    </row>
    <row r="1957" spans="1:48" x14ac:dyDescent="0.4">
      <c r="A1957">
        <v>2313017252</v>
      </c>
      <c r="B1957">
        <v>2313017287</v>
      </c>
      <c r="C1957" t="str">
        <f>T("신들의 알바나라 36화")</f>
        <v>신들의 알바나라 36화</v>
      </c>
      <c r="D1957" t="str">
        <f>T("36")</f>
        <v>36</v>
      </c>
      <c r="E1957" t="str">
        <f>T("갓띵작")</f>
        <v>갓띵작</v>
      </c>
      <c r="H1957" t="str">
        <f t="shared" si="335"/>
        <v>스토리위즈</v>
      </c>
      <c r="I1957" t="str">
        <f>T("신들의 알바나라")</f>
        <v>신들의 알바나라</v>
      </c>
      <c r="J1957">
        <v>100</v>
      </c>
      <c r="K1957">
        <v>300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300</v>
      </c>
      <c r="AH1957">
        <v>3</v>
      </c>
      <c r="AI1957">
        <v>0</v>
      </c>
      <c r="AJ1957">
        <v>0</v>
      </c>
      <c r="AK1957">
        <v>300</v>
      </c>
      <c r="AL1957">
        <v>0</v>
      </c>
      <c r="AM1957">
        <v>0</v>
      </c>
      <c r="AN1957">
        <v>0</v>
      </c>
      <c r="AO1957">
        <v>0</v>
      </c>
      <c r="AP1957">
        <v>210</v>
      </c>
      <c r="AT1957" t="str">
        <f>T("9791137603950")</f>
        <v>9791137603950</v>
      </c>
      <c r="AV1957" t="str">
        <f>T("판타지 웹소설 &gt; 퓨전 판타지")</f>
        <v>판타지 웹소설 &gt; 퓨전 판타지</v>
      </c>
    </row>
    <row r="1958" spans="1:48" x14ac:dyDescent="0.4">
      <c r="A1958">
        <v>2313017252</v>
      </c>
      <c r="B1958">
        <v>2313017288</v>
      </c>
      <c r="C1958" t="str">
        <f>T("신들의 알바나라 37화")</f>
        <v>신들의 알바나라 37화</v>
      </c>
      <c r="D1958" t="str">
        <f>T("37")</f>
        <v>37</v>
      </c>
      <c r="E1958" t="str">
        <f>T("갓띵작")</f>
        <v>갓띵작</v>
      </c>
      <c r="H1958" t="str">
        <f t="shared" si="335"/>
        <v>스토리위즈</v>
      </c>
      <c r="I1958" t="str">
        <f>T("신들의 알바나라")</f>
        <v>신들의 알바나라</v>
      </c>
      <c r="J1958">
        <v>100</v>
      </c>
      <c r="K1958">
        <v>300</v>
      </c>
      <c r="L1958">
        <v>3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300</v>
      </c>
      <c r="AH1958">
        <v>3</v>
      </c>
      <c r="AI1958">
        <v>0</v>
      </c>
      <c r="AJ1958">
        <v>0</v>
      </c>
      <c r="AK1958">
        <v>300</v>
      </c>
      <c r="AL1958">
        <v>0</v>
      </c>
      <c r="AM1958">
        <v>0</v>
      </c>
      <c r="AN1958">
        <v>0</v>
      </c>
      <c r="AO1958">
        <v>0</v>
      </c>
      <c r="AP1958">
        <v>210</v>
      </c>
      <c r="AT1958" t="str">
        <f>T("9791137603950")</f>
        <v>9791137603950</v>
      </c>
      <c r="AV1958" t="str">
        <f>T("판타지 웹소설 &gt; 퓨전 판타지")</f>
        <v>판타지 웹소설 &gt; 퓨전 판타지</v>
      </c>
    </row>
    <row r="1959" spans="1:48" x14ac:dyDescent="0.4">
      <c r="A1959">
        <v>2313017252</v>
      </c>
      <c r="B1959">
        <v>2313017290</v>
      </c>
      <c r="C1959" t="str">
        <f>T("신들의 알바나라 39화")</f>
        <v>신들의 알바나라 39화</v>
      </c>
      <c r="D1959" t="str">
        <f>T("39")</f>
        <v>39</v>
      </c>
      <c r="E1959" t="str">
        <f>T("갓띵작")</f>
        <v>갓띵작</v>
      </c>
      <c r="H1959" t="str">
        <f t="shared" si="335"/>
        <v>스토리위즈</v>
      </c>
      <c r="I1959" t="str">
        <f>T("신들의 알바나라")</f>
        <v>신들의 알바나라</v>
      </c>
      <c r="J1959">
        <v>100</v>
      </c>
      <c r="K1959">
        <v>300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300</v>
      </c>
      <c r="AH1959">
        <v>3</v>
      </c>
      <c r="AI1959">
        <v>0</v>
      </c>
      <c r="AJ1959">
        <v>0</v>
      </c>
      <c r="AK1959">
        <v>300</v>
      </c>
      <c r="AL1959">
        <v>0</v>
      </c>
      <c r="AM1959">
        <v>0</v>
      </c>
      <c r="AN1959">
        <v>0</v>
      </c>
      <c r="AO1959">
        <v>0</v>
      </c>
      <c r="AP1959">
        <v>210</v>
      </c>
      <c r="AT1959" t="str">
        <f>T("9791137603950")</f>
        <v>9791137603950</v>
      </c>
      <c r="AV1959" t="str">
        <f>T("판타지 웹소설 &gt; 퓨전 판타지")</f>
        <v>판타지 웹소설 &gt; 퓨전 판타지</v>
      </c>
    </row>
    <row r="1960" spans="1:48" x14ac:dyDescent="0.4">
      <c r="A1960">
        <v>2313002926</v>
      </c>
      <c r="B1960">
        <v>2313002951</v>
      </c>
      <c r="C1960" t="str">
        <f>T("나 혼자만 일일 보상 26화")</f>
        <v>나 혼자만 일일 보상 26화</v>
      </c>
      <c r="D1960" t="str">
        <f>T("26")</f>
        <v>26</v>
      </c>
      <c r="E1960" t="str">
        <f>T("이동열")</f>
        <v>이동열</v>
      </c>
      <c r="H1960" t="str">
        <f t="shared" si="335"/>
        <v>스토리위즈</v>
      </c>
      <c r="I1960" t="str">
        <f>T("나 혼자만 일일 보상")</f>
        <v>나 혼자만 일일 보상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>
        <v>140</v>
      </c>
      <c r="AT1960" t="str">
        <f>T("9791159286889")</f>
        <v>9791159286889</v>
      </c>
      <c r="AV1960" t="str">
        <f t="shared" ref="AV1960:AV2023" si="336">T("판타지 웹소설 &gt; 현대 판타지")</f>
        <v>판타지 웹소설 &gt; 현대 판타지</v>
      </c>
    </row>
    <row r="1961" spans="1:48" x14ac:dyDescent="0.4">
      <c r="A1961">
        <v>2313002926</v>
      </c>
      <c r="B1961">
        <v>2313002952</v>
      </c>
      <c r="C1961" t="str">
        <f>T("나 혼자만 일일 보상 27화")</f>
        <v>나 혼자만 일일 보상 27화</v>
      </c>
      <c r="D1961" t="str">
        <f>T("27")</f>
        <v>27</v>
      </c>
      <c r="E1961" t="str">
        <f>T("이동열")</f>
        <v>이동열</v>
      </c>
      <c r="H1961" t="str">
        <f t="shared" si="335"/>
        <v>스토리위즈</v>
      </c>
      <c r="I1961" t="str">
        <f>T("나 혼자만 일일 보상")</f>
        <v>나 혼자만 일일 보상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>
        <v>140</v>
      </c>
      <c r="AT1961" t="str">
        <f>T("9791159286889")</f>
        <v>9791159286889</v>
      </c>
      <c r="AV1961" t="str">
        <f t="shared" si="336"/>
        <v>판타지 웹소설 &gt; 현대 판타지</v>
      </c>
    </row>
    <row r="1962" spans="1:48" x14ac:dyDescent="0.4">
      <c r="A1962">
        <v>2313002926</v>
      </c>
      <c r="B1962">
        <v>2313002953</v>
      </c>
      <c r="C1962" t="str">
        <f>T("나 혼자만 일일 보상 28화")</f>
        <v>나 혼자만 일일 보상 28화</v>
      </c>
      <c r="D1962" t="str">
        <f>T("28")</f>
        <v>28</v>
      </c>
      <c r="E1962" t="str">
        <f>T("이동열")</f>
        <v>이동열</v>
      </c>
      <c r="H1962" t="str">
        <f t="shared" si="335"/>
        <v>스토리위즈</v>
      </c>
      <c r="I1962" t="str">
        <f>T("나 혼자만 일일 보상")</f>
        <v>나 혼자만 일일 보상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>
        <v>140</v>
      </c>
      <c r="AT1962" t="str">
        <f>T("9791159286889")</f>
        <v>9791159286889</v>
      </c>
      <c r="AV1962" t="str">
        <f t="shared" si="336"/>
        <v>판타지 웹소설 &gt; 현대 판타지</v>
      </c>
    </row>
    <row r="1963" spans="1:48" x14ac:dyDescent="0.4">
      <c r="A1963">
        <v>2313002926</v>
      </c>
      <c r="B1963">
        <v>2313002954</v>
      </c>
      <c r="C1963" t="str">
        <f>T("나 혼자만 일일 보상 29화")</f>
        <v>나 혼자만 일일 보상 29화</v>
      </c>
      <c r="D1963" t="str">
        <f>T("29")</f>
        <v>29</v>
      </c>
      <c r="E1963" t="str">
        <f>T("이동열")</f>
        <v>이동열</v>
      </c>
      <c r="H1963" t="str">
        <f t="shared" si="335"/>
        <v>스토리위즈</v>
      </c>
      <c r="I1963" t="str">
        <f>T("나 혼자만 일일 보상")</f>
        <v>나 혼자만 일일 보상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>
        <v>140</v>
      </c>
      <c r="AT1963" t="str">
        <f>T("9791159286889")</f>
        <v>9791159286889</v>
      </c>
      <c r="AV1963" t="str">
        <f t="shared" si="336"/>
        <v>판타지 웹소설 &gt; 현대 판타지</v>
      </c>
    </row>
    <row r="1964" spans="1:48" x14ac:dyDescent="0.4">
      <c r="A1964">
        <v>2313003101</v>
      </c>
      <c r="B1964">
        <v>2313003124</v>
      </c>
      <c r="C1964" t="str">
        <f>T("로드 오브 머니 24화")</f>
        <v>로드 오브 머니 24화</v>
      </c>
      <c r="D1964" t="str">
        <f>T("24")</f>
        <v>24</v>
      </c>
      <c r="E1964" t="str">
        <f t="shared" ref="E1964:E2027" si="337">T("무장")</f>
        <v>무장</v>
      </c>
      <c r="H1964" t="str">
        <f t="shared" si="335"/>
        <v>스토리위즈</v>
      </c>
      <c r="I1964" t="str">
        <f t="shared" ref="I1964:I2027" si="338">T("로드 오브 머니")</f>
        <v>로드 오브 머니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>
        <v>140</v>
      </c>
      <c r="AT1964" t="str">
        <f t="shared" ref="AT1964:AT2027" si="339">T("9791188630066")</f>
        <v>9791188630066</v>
      </c>
      <c r="AV1964" t="str">
        <f t="shared" si="336"/>
        <v>판타지 웹소설 &gt; 현대 판타지</v>
      </c>
    </row>
    <row r="1965" spans="1:48" x14ac:dyDescent="0.4">
      <c r="A1965">
        <v>2313003101</v>
      </c>
      <c r="B1965">
        <v>2313003125</v>
      </c>
      <c r="C1965" t="str">
        <f>T("로드 오브 머니 25화")</f>
        <v>로드 오브 머니 25화</v>
      </c>
      <c r="D1965" t="str">
        <f>T("25")</f>
        <v>25</v>
      </c>
      <c r="E1965" t="str">
        <f t="shared" si="337"/>
        <v>무장</v>
      </c>
      <c r="H1965" t="str">
        <f t="shared" si="335"/>
        <v>스토리위즈</v>
      </c>
      <c r="I1965" t="str">
        <f t="shared" si="338"/>
        <v>로드 오브 머니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>
        <v>140</v>
      </c>
      <c r="AT1965" t="str">
        <f t="shared" si="339"/>
        <v>9791188630066</v>
      </c>
      <c r="AV1965" t="str">
        <f t="shared" si="336"/>
        <v>판타지 웹소설 &gt; 현대 판타지</v>
      </c>
    </row>
    <row r="1966" spans="1:48" x14ac:dyDescent="0.4">
      <c r="A1966">
        <v>2313003101</v>
      </c>
      <c r="B1966">
        <v>2313003126</v>
      </c>
      <c r="C1966" t="str">
        <f>T("로드 오브 머니 26화")</f>
        <v>로드 오브 머니 26화</v>
      </c>
      <c r="D1966" t="str">
        <f>T("26")</f>
        <v>26</v>
      </c>
      <c r="E1966" t="str">
        <f t="shared" si="337"/>
        <v>무장</v>
      </c>
      <c r="H1966" t="str">
        <f t="shared" si="335"/>
        <v>스토리위즈</v>
      </c>
      <c r="I1966" t="str">
        <f t="shared" si="338"/>
        <v>로드 오브 머니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>
        <v>140</v>
      </c>
      <c r="AT1966" t="str">
        <f t="shared" si="339"/>
        <v>9791188630066</v>
      </c>
      <c r="AV1966" t="str">
        <f t="shared" si="336"/>
        <v>판타지 웹소설 &gt; 현대 판타지</v>
      </c>
    </row>
    <row r="1967" spans="1:48" x14ac:dyDescent="0.4">
      <c r="A1967">
        <v>2313003101</v>
      </c>
      <c r="B1967">
        <v>2313003127</v>
      </c>
      <c r="C1967" t="str">
        <f>T("로드 오브 머니 27화")</f>
        <v>로드 오브 머니 27화</v>
      </c>
      <c r="D1967" t="str">
        <f>T("27")</f>
        <v>27</v>
      </c>
      <c r="E1967" t="str">
        <f t="shared" si="337"/>
        <v>무장</v>
      </c>
      <c r="H1967" t="str">
        <f t="shared" si="335"/>
        <v>스토리위즈</v>
      </c>
      <c r="I1967" t="str">
        <f t="shared" si="338"/>
        <v>로드 오브 머니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>
        <v>140</v>
      </c>
      <c r="AT1967" t="str">
        <f t="shared" si="339"/>
        <v>9791188630066</v>
      </c>
      <c r="AV1967" t="str">
        <f t="shared" si="336"/>
        <v>판타지 웹소설 &gt; 현대 판타지</v>
      </c>
    </row>
    <row r="1968" spans="1:48" x14ac:dyDescent="0.4">
      <c r="A1968">
        <v>2313003101</v>
      </c>
      <c r="B1968">
        <v>2313003128</v>
      </c>
      <c r="C1968" t="str">
        <f>T("로드 오브 머니 28화")</f>
        <v>로드 오브 머니 28화</v>
      </c>
      <c r="D1968" t="str">
        <f>T("28")</f>
        <v>28</v>
      </c>
      <c r="E1968" t="str">
        <f t="shared" si="337"/>
        <v>무장</v>
      </c>
      <c r="H1968" t="str">
        <f t="shared" si="335"/>
        <v>스토리위즈</v>
      </c>
      <c r="I1968" t="str">
        <f t="shared" si="338"/>
        <v>로드 오브 머니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>
        <v>140</v>
      </c>
      <c r="AT1968" t="str">
        <f t="shared" si="339"/>
        <v>9791188630066</v>
      </c>
      <c r="AV1968" t="str">
        <f t="shared" si="336"/>
        <v>판타지 웹소설 &gt; 현대 판타지</v>
      </c>
    </row>
    <row r="1969" spans="1:48" x14ac:dyDescent="0.4">
      <c r="A1969">
        <v>2313003101</v>
      </c>
      <c r="B1969">
        <v>2313003129</v>
      </c>
      <c r="C1969" t="str">
        <f>T("로드 오브 머니 29화")</f>
        <v>로드 오브 머니 29화</v>
      </c>
      <c r="D1969" t="str">
        <f>T("29")</f>
        <v>29</v>
      </c>
      <c r="E1969" t="str">
        <f t="shared" si="337"/>
        <v>무장</v>
      </c>
      <c r="H1969" t="str">
        <f t="shared" si="335"/>
        <v>스토리위즈</v>
      </c>
      <c r="I1969" t="str">
        <f t="shared" si="338"/>
        <v>로드 오브 머니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>
        <v>140</v>
      </c>
      <c r="AT1969" t="str">
        <f t="shared" si="339"/>
        <v>9791188630066</v>
      </c>
      <c r="AV1969" t="str">
        <f t="shared" si="336"/>
        <v>판타지 웹소설 &gt; 현대 판타지</v>
      </c>
    </row>
    <row r="1970" spans="1:48" x14ac:dyDescent="0.4">
      <c r="A1970">
        <v>2313003101</v>
      </c>
      <c r="B1970">
        <v>2313003130</v>
      </c>
      <c r="C1970" t="str">
        <f>T("로드 오브 머니 30화")</f>
        <v>로드 오브 머니 30화</v>
      </c>
      <c r="D1970" t="str">
        <f>T("30")</f>
        <v>30</v>
      </c>
      <c r="E1970" t="str">
        <f t="shared" si="337"/>
        <v>무장</v>
      </c>
      <c r="H1970" t="str">
        <f t="shared" si="335"/>
        <v>스토리위즈</v>
      </c>
      <c r="I1970" t="str">
        <f t="shared" si="338"/>
        <v>로드 오브 머니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>
        <v>140</v>
      </c>
      <c r="AT1970" t="str">
        <f t="shared" si="339"/>
        <v>9791188630066</v>
      </c>
      <c r="AV1970" t="str">
        <f t="shared" si="336"/>
        <v>판타지 웹소설 &gt; 현대 판타지</v>
      </c>
    </row>
    <row r="1971" spans="1:48" x14ac:dyDescent="0.4">
      <c r="A1971">
        <v>2313003101</v>
      </c>
      <c r="B1971">
        <v>2313003131</v>
      </c>
      <c r="C1971" t="str">
        <f>T("로드 오브 머니 31화")</f>
        <v>로드 오브 머니 31화</v>
      </c>
      <c r="D1971" t="str">
        <f>T("31")</f>
        <v>31</v>
      </c>
      <c r="E1971" t="str">
        <f t="shared" si="337"/>
        <v>무장</v>
      </c>
      <c r="H1971" t="str">
        <f t="shared" si="335"/>
        <v>스토리위즈</v>
      </c>
      <c r="I1971" t="str">
        <f t="shared" si="338"/>
        <v>로드 오브 머니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>
        <v>140</v>
      </c>
      <c r="AT1971" t="str">
        <f t="shared" si="339"/>
        <v>9791188630066</v>
      </c>
      <c r="AV1971" t="str">
        <f t="shared" si="336"/>
        <v>판타지 웹소설 &gt; 현대 판타지</v>
      </c>
    </row>
    <row r="1972" spans="1:48" x14ac:dyDescent="0.4">
      <c r="A1972">
        <v>2313003101</v>
      </c>
      <c r="B1972">
        <v>2313003132</v>
      </c>
      <c r="C1972" t="str">
        <f>T("로드 오브 머니 32화")</f>
        <v>로드 오브 머니 32화</v>
      </c>
      <c r="D1972" t="str">
        <f>T("32")</f>
        <v>32</v>
      </c>
      <c r="E1972" t="str">
        <f t="shared" si="337"/>
        <v>무장</v>
      </c>
      <c r="H1972" t="str">
        <f t="shared" si="335"/>
        <v>스토리위즈</v>
      </c>
      <c r="I1972" t="str">
        <f t="shared" si="338"/>
        <v>로드 오브 머니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>
        <v>140</v>
      </c>
      <c r="AT1972" t="str">
        <f t="shared" si="339"/>
        <v>9791188630066</v>
      </c>
      <c r="AV1972" t="str">
        <f t="shared" si="336"/>
        <v>판타지 웹소설 &gt; 현대 판타지</v>
      </c>
    </row>
    <row r="1973" spans="1:48" x14ac:dyDescent="0.4">
      <c r="A1973">
        <v>2313003101</v>
      </c>
      <c r="B1973">
        <v>2313003133</v>
      </c>
      <c r="C1973" t="str">
        <f>T("로드 오브 머니 33화")</f>
        <v>로드 오브 머니 33화</v>
      </c>
      <c r="D1973" t="str">
        <f>T("33")</f>
        <v>33</v>
      </c>
      <c r="E1973" t="str">
        <f t="shared" si="337"/>
        <v>무장</v>
      </c>
      <c r="H1973" t="str">
        <f t="shared" si="335"/>
        <v>스토리위즈</v>
      </c>
      <c r="I1973" t="str">
        <f t="shared" si="338"/>
        <v>로드 오브 머니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>
        <v>140</v>
      </c>
      <c r="AT1973" t="str">
        <f t="shared" si="339"/>
        <v>9791188630066</v>
      </c>
      <c r="AV1973" t="str">
        <f t="shared" si="336"/>
        <v>판타지 웹소설 &gt; 현대 판타지</v>
      </c>
    </row>
    <row r="1974" spans="1:48" x14ac:dyDescent="0.4">
      <c r="A1974">
        <v>2313003101</v>
      </c>
      <c r="B1974">
        <v>2313003134</v>
      </c>
      <c r="C1974" t="str">
        <f>T("로드 오브 머니 34화")</f>
        <v>로드 오브 머니 34화</v>
      </c>
      <c r="D1974" t="str">
        <f>T("34")</f>
        <v>34</v>
      </c>
      <c r="E1974" t="str">
        <f t="shared" si="337"/>
        <v>무장</v>
      </c>
      <c r="H1974" t="str">
        <f t="shared" si="335"/>
        <v>스토리위즈</v>
      </c>
      <c r="I1974" t="str">
        <f t="shared" si="338"/>
        <v>로드 오브 머니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>
        <v>140</v>
      </c>
      <c r="AT1974" t="str">
        <f t="shared" si="339"/>
        <v>9791188630066</v>
      </c>
      <c r="AV1974" t="str">
        <f t="shared" si="336"/>
        <v>판타지 웹소설 &gt; 현대 판타지</v>
      </c>
    </row>
    <row r="1975" spans="1:48" x14ac:dyDescent="0.4">
      <c r="A1975">
        <v>2313003101</v>
      </c>
      <c r="B1975">
        <v>2313003135</v>
      </c>
      <c r="C1975" t="str">
        <f>T("로드 오브 머니 35화")</f>
        <v>로드 오브 머니 35화</v>
      </c>
      <c r="D1975" t="str">
        <f>T("35")</f>
        <v>35</v>
      </c>
      <c r="E1975" t="str">
        <f t="shared" si="337"/>
        <v>무장</v>
      </c>
      <c r="H1975" t="str">
        <f t="shared" si="335"/>
        <v>스토리위즈</v>
      </c>
      <c r="I1975" t="str">
        <f t="shared" si="338"/>
        <v>로드 오브 머니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>
        <v>140</v>
      </c>
      <c r="AT1975" t="str">
        <f t="shared" si="339"/>
        <v>9791188630066</v>
      </c>
      <c r="AV1975" t="str">
        <f t="shared" si="336"/>
        <v>판타지 웹소설 &gt; 현대 판타지</v>
      </c>
    </row>
    <row r="1976" spans="1:48" x14ac:dyDescent="0.4">
      <c r="A1976">
        <v>2313003101</v>
      </c>
      <c r="B1976">
        <v>2313003136</v>
      </c>
      <c r="C1976" t="str">
        <f>T("로드 오브 머니 36화")</f>
        <v>로드 오브 머니 36화</v>
      </c>
      <c r="D1976" t="str">
        <f>T("36")</f>
        <v>36</v>
      </c>
      <c r="E1976" t="str">
        <f t="shared" si="337"/>
        <v>무장</v>
      </c>
      <c r="H1976" t="str">
        <f t="shared" si="335"/>
        <v>스토리위즈</v>
      </c>
      <c r="I1976" t="str">
        <f t="shared" si="338"/>
        <v>로드 오브 머니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>
        <v>140</v>
      </c>
      <c r="AT1976" t="str">
        <f t="shared" si="339"/>
        <v>9791188630066</v>
      </c>
      <c r="AV1976" t="str">
        <f t="shared" si="336"/>
        <v>판타지 웹소설 &gt; 현대 판타지</v>
      </c>
    </row>
    <row r="1977" spans="1:48" x14ac:dyDescent="0.4">
      <c r="A1977">
        <v>2313003101</v>
      </c>
      <c r="B1977">
        <v>2313003137</v>
      </c>
      <c r="C1977" t="str">
        <f>T("로드 오브 머니 37화")</f>
        <v>로드 오브 머니 37화</v>
      </c>
      <c r="D1977" t="str">
        <f>T("37")</f>
        <v>37</v>
      </c>
      <c r="E1977" t="str">
        <f t="shared" si="337"/>
        <v>무장</v>
      </c>
      <c r="H1977" t="str">
        <f t="shared" si="335"/>
        <v>스토리위즈</v>
      </c>
      <c r="I1977" t="str">
        <f t="shared" si="338"/>
        <v>로드 오브 머니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>
        <v>140</v>
      </c>
      <c r="AT1977" t="str">
        <f t="shared" si="339"/>
        <v>9791188630066</v>
      </c>
      <c r="AV1977" t="str">
        <f t="shared" si="336"/>
        <v>판타지 웹소설 &gt; 현대 판타지</v>
      </c>
    </row>
    <row r="1978" spans="1:48" x14ac:dyDescent="0.4">
      <c r="A1978">
        <v>2313003101</v>
      </c>
      <c r="B1978">
        <v>2313003138</v>
      </c>
      <c r="C1978" t="str">
        <f>T("로드 오브 머니 38화")</f>
        <v>로드 오브 머니 38화</v>
      </c>
      <c r="D1978" t="str">
        <f>T("38")</f>
        <v>38</v>
      </c>
      <c r="E1978" t="str">
        <f t="shared" si="337"/>
        <v>무장</v>
      </c>
      <c r="H1978" t="str">
        <f t="shared" si="335"/>
        <v>스토리위즈</v>
      </c>
      <c r="I1978" t="str">
        <f t="shared" si="338"/>
        <v>로드 오브 머니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>
        <v>140</v>
      </c>
      <c r="AT1978" t="str">
        <f t="shared" si="339"/>
        <v>9791188630066</v>
      </c>
      <c r="AV1978" t="str">
        <f t="shared" si="336"/>
        <v>판타지 웹소설 &gt; 현대 판타지</v>
      </c>
    </row>
    <row r="1979" spans="1:48" x14ac:dyDescent="0.4">
      <c r="A1979">
        <v>2313003101</v>
      </c>
      <c r="B1979">
        <v>2313003139</v>
      </c>
      <c r="C1979" t="str">
        <f>T("로드 오브 머니 39화")</f>
        <v>로드 오브 머니 39화</v>
      </c>
      <c r="D1979" t="str">
        <f>T("39")</f>
        <v>39</v>
      </c>
      <c r="E1979" t="str">
        <f t="shared" si="337"/>
        <v>무장</v>
      </c>
      <c r="H1979" t="str">
        <f t="shared" si="335"/>
        <v>스토리위즈</v>
      </c>
      <c r="I1979" t="str">
        <f t="shared" si="338"/>
        <v>로드 오브 머니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>
        <v>140</v>
      </c>
      <c r="AT1979" t="str">
        <f t="shared" si="339"/>
        <v>9791188630066</v>
      </c>
      <c r="AV1979" t="str">
        <f t="shared" si="336"/>
        <v>판타지 웹소설 &gt; 현대 판타지</v>
      </c>
    </row>
    <row r="1980" spans="1:48" x14ac:dyDescent="0.4">
      <c r="A1980">
        <v>2313003101</v>
      </c>
      <c r="B1980">
        <v>2313003140</v>
      </c>
      <c r="C1980" t="str">
        <f>T("로드 오브 머니 40화")</f>
        <v>로드 오브 머니 40화</v>
      </c>
      <c r="D1980" t="str">
        <f>T("40")</f>
        <v>40</v>
      </c>
      <c r="E1980" t="str">
        <f t="shared" si="337"/>
        <v>무장</v>
      </c>
      <c r="H1980" t="str">
        <f t="shared" si="335"/>
        <v>스토리위즈</v>
      </c>
      <c r="I1980" t="str">
        <f t="shared" si="338"/>
        <v>로드 오브 머니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>
        <v>140</v>
      </c>
      <c r="AT1980" t="str">
        <f t="shared" si="339"/>
        <v>9791188630066</v>
      </c>
      <c r="AV1980" t="str">
        <f t="shared" si="336"/>
        <v>판타지 웹소설 &gt; 현대 판타지</v>
      </c>
    </row>
    <row r="1981" spans="1:48" x14ac:dyDescent="0.4">
      <c r="A1981">
        <v>2313003101</v>
      </c>
      <c r="B1981">
        <v>2313003141</v>
      </c>
      <c r="C1981" t="str">
        <f>T("로드 오브 머니 41화")</f>
        <v>로드 오브 머니 41화</v>
      </c>
      <c r="D1981" t="str">
        <f>T("41")</f>
        <v>41</v>
      </c>
      <c r="E1981" t="str">
        <f t="shared" si="337"/>
        <v>무장</v>
      </c>
      <c r="H1981" t="str">
        <f t="shared" si="335"/>
        <v>스토리위즈</v>
      </c>
      <c r="I1981" t="str">
        <f t="shared" si="338"/>
        <v>로드 오브 머니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>
        <v>140</v>
      </c>
      <c r="AT1981" t="str">
        <f t="shared" si="339"/>
        <v>9791188630066</v>
      </c>
      <c r="AV1981" t="str">
        <f t="shared" si="336"/>
        <v>판타지 웹소설 &gt; 현대 판타지</v>
      </c>
    </row>
    <row r="1982" spans="1:48" x14ac:dyDescent="0.4">
      <c r="A1982">
        <v>2313003101</v>
      </c>
      <c r="B1982">
        <v>2313003142</v>
      </c>
      <c r="C1982" t="str">
        <f>T("로드 오브 머니 42화")</f>
        <v>로드 오브 머니 42화</v>
      </c>
      <c r="D1982" t="str">
        <f>T("42")</f>
        <v>42</v>
      </c>
      <c r="E1982" t="str">
        <f t="shared" si="337"/>
        <v>무장</v>
      </c>
      <c r="H1982" t="str">
        <f t="shared" si="335"/>
        <v>스토리위즈</v>
      </c>
      <c r="I1982" t="str">
        <f t="shared" si="338"/>
        <v>로드 오브 머니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>
        <v>140</v>
      </c>
      <c r="AT1982" t="str">
        <f t="shared" si="339"/>
        <v>9791188630066</v>
      </c>
      <c r="AV1982" t="str">
        <f t="shared" si="336"/>
        <v>판타지 웹소설 &gt; 현대 판타지</v>
      </c>
    </row>
    <row r="1983" spans="1:48" x14ac:dyDescent="0.4">
      <c r="A1983">
        <v>2313003101</v>
      </c>
      <c r="B1983">
        <v>2313003143</v>
      </c>
      <c r="C1983" t="str">
        <f>T("로드 오브 머니 43화")</f>
        <v>로드 오브 머니 43화</v>
      </c>
      <c r="D1983" t="str">
        <f>T("43")</f>
        <v>43</v>
      </c>
      <c r="E1983" t="str">
        <f t="shared" si="337"/>
        <v>무장</v>
      </c>
      <c r="H1983" t="str">
        <f t="shared" si="335"/>
        <v>스토리위즈</v>
      </c>
      <c r="I1983" t="str">
        <f t="shared" si="338"/>
        <v>로드 오브 머니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>
        <v>140</v>
      </c>
      <c r="AT1983" t="str">
        <f t="shared" si="339"/>
        <v>9791188630066</v>
      </c>
      <c r="AV1983" t="str">
        <f t="shared" si="336"/>
        <v>판타지 웹소설 &gt; 현대 판타지</v>
      </c>
    </row>
    <row r="1984" spans="1:48" x14ac:dyDescent="0.4">
      <c r="A1984">
        <v>2313003101</v>
      </c>
      <c r="B1984">
        <v>2313003144</v>
      </c>
      <c r="C1984" t="str">
        <f>T("로드 오브 머니 44화")</f>
        <v>로드 오브 머니 44화</v>
      </c>
      <c r="D1984" t="str">
        <f>T("44")</f>
        <v>44</v>
      </c>
      <c r="E1984" t="str">
        <f t="shared" si="337"/>
        <v>무장</v>
      </c>
      <c r="H1984" t="str">
        <f t="shared" si="335"/>
        <v>스토리위즈</v>
      </c>
      <c r="I1984" t="str">
        <f t="shared" si="338"/>
        <v>로드 오브 머니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>
        <v>140</v>
      </c>
      <c r="AT1984" t="str">
        <f t="shared" si="339"/>
        <v>9791188630066</v>
      </c>
      <c r="AV1984" t="str">
        <f t="shared" si="336"/>
        <v>판타지 웹소설 &gt; 현대 판타지</v>
      </c>
    </row>
    <row r="1985" spans="1:48" x14ac:dyDescent="0.4">
      <c r="A1985">
        <v>2313003101</v>
      </c>
      <c r="B1985">
        <v>2313003145</v>
      </c>
      <c r="C1985" t="str">
        <f>T("로드 오브 머니 45화")</f>
        <v>로드 오브 머니 45화</v>
      </c>
      <c r="D1985" t="str">
        <f>T("45")</f>
        <v>45</v>
      </c>
      <c r="E1985" t="str">
        <f t="shared" si="337"/>
        <v>무장</v>
      </c>
      <c r="H1985" t="str">
        <f t="shared" si="335"/>
        <v>스토리위즈</v>
      </c>
      <c r="I1985" t="str">
        <f t="shared" si="338"/>
        <v>로드 오브 머니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>
        <v>140</v>
      </c>
      <c r="AT1985" t="str">
        <f t="shared" si="339"/>
        <v>9791188630066</v>
      </c>
      <c r="AV1985" t="str">
        <f t="shared" si="336"/>
        <v>판타지 웹소설 &gt; 현대 판타지</v>
      </c>
    </row>
    <row r="1986" spans="1:48" x14ac:dyDescent="0.4">
      <c r="A1986">
        <v>2313003101</v>
      </c>
      <c r="B1986">
        <v>2313003146</v>
      </c>
      <c r="C1986" t="str">
        <f>T("로드 오브 머니 46화")</f>
        <v>로드 오브 머니 46화</v>
      </c>
      <c r="D1986" t="str">
        <f>T("46")</f>
        <v>46</v>
      </c>
      <c r="E1986" t="str">
        <f t="shared" si="337"/>
        <v>무장</v>
      </c>
      <c r="H1986" t="str">
        <f t="shared" si="335"/>
        <v>스토리위즈</v>
      </c>
      <c r="I1986" t="str">
        <f t="shared" si="338"/>
        <v>로드 오브 머니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>
        <v>140</v>
      </c>
      <c r="AT1986" t="str">
        <f t="shared" si="339"/>
        <v>9791188630066</v>
      </c>
      <c r="AV1986" t="str">
        <f t="shared" si="336"/>
        <v>판타지 웹소설 &gt; 현대 판타지</v>
      </c>
    </row>
    <row r="1987" spans="1:48" x14ac:dyDescent="0.4">
      <c r="A1987">
        <v>2313003101</v>
      </c>
      <c r="B1987">
        <v>2313003147</v>
      </c>
      <c r="C1987" t="str">
        <f>T("로드 오브 머니 47화")</f>
        <v>로드 오브 머니 47화</v>
      </c>
      <c r="D1987" t="str">
        <f>T("47")</f>
        <v>47</v>
      </c>
      <c r="E1987" t="str">
        <f t="shared" si="337"/>
        <v>무장</v>
      </c>
      <c r="H1987" t="str">
        <f t="shared" si="335"/>
        <v>스토리위즈</v>
      </c>
      <c r="I1987" t="str">
        <f t="shared" si="338"/>
        <v>로드 오브 머니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>
        <v>140</v>
      </c>
      <c r="AT1987" t="str">
        <f t="shared" si="339"/>
        <v>9791188630066</v>
      </c>
      <c r="AV1987" t="str">
        <f t="shared" si="336"/>
        <v>판타지 웹소설 &gt; 현대 판타지</v>
      </c>
    </row>
    <row r="1988" spans="1:48" x14ac:dyDescent="0.4">
      <c r="A1988">
        <v>2313003101</v>
      </c>
      <c r="B1988">
        <v>2313003148</v>
      </c>
      <c r="C1988" t="str">
        <f>T("로드 오브 머니 48화")</f>
        <v>로드 오브 머니 48화</v>
      </c>
      <c r="D1988" t="str">
        <f>T("48")</f>
        <v>48</v>
      </c>
      <c r="E1988" t="str">
        <f t="shared" si="337"/>
        <v>무장</v>
      </c>
      <c r="H1988" t="str">
        <f t="shared" si="335"/>
        <v>스토리위즈</v>
      </c>
      <c r="I1988" t="str">
        <f t="shared" si="338"/>
        <v>로드 오브 머니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>
        <v>140</v>
      </c>
      <c r="AT1988" t="str">
        <f t="shared" si="339"/>
        <v>9791188630066</v>
      </c>
      <c r="AV1988" t="str">
        <f t="shared" si="336"/>
        <v>판타지 웹소설 &gt; 현대 판타지</v>
      </c>
    </row>
    <row r="1989" spans="1:48" x14ac:dyDescent="0.4">
      <c r="A1989">
        <v>2313003101</v>
      </c>
      <c r="B1989">
        <v>2313003149</v>
      </c>
      <c r="C1989" t="str">
        <f>T("로드 오브 머니 49화")</f>
        <v>로드 오브 머니 49화</v>
      </c>
      <c r="D1989" t="str">
        <f>T("49")</f>
        <v>49</v>
      </c>
      <c r="E1989" t="str">
        <f t="shared" si="337"/>
        <v>무장</v>
      </c>
      <c r="H1989" t="str">
        <f t="shared" si="335"/>
        <v>스토리위즈</v>
      </c>
      <c r="I1989" t="str">
        <f t="shared" si="338"/>
        <v>로드 오브 머니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>
        <v>140</v>
      </c>
      <c r="AT1989" t="str">
        <f t="shared" si="339"/>
        <v>9791188630066</v>
      </c>
      <c r="AV1989" t="str">
        <f t="shared" si="336"/>
        <v>판타지 웹소설 &gt; 현대 판타지</v>
      </c>
    </row>
    <row r="1990" spans="1:48" x14ac:dyDescent="0.4">
      <c r="A1990">
        <v>2313003101</v>
      </c>
      <c r="B1990">
        <v>2313003150</v>
      </c>
      <c r="C1990" t="str">
        <f>T("로드 오브 머니 50화")</f>
        <v>로드 오브 머니 50화</v>
      </c>
      <c r="D1990" t="str">
        <f>T("50")</f>
        <v>50</v>
      </c>
      <c r="E1990" t="str">
        <f t="shared" si="337"/>
        <v>무장</v>
      </c>
      <c r="H1990" t="str">
        <f t="shared" si="335"/>
        <v>스토리위즈</v>
      </c>
      <c r="I1990" t="str">
        <f t="shared" si="338"/>
        <v>로드 오브 머니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>
        <v>140</v>
      </c>
      <c r="AT1990" t="str">
        <f t="shared" si="339"/>
        <v>9791188630066</v>
      </c>
      <c r="AV1990" t="str">
        <f t="shared" si="336"/>
        <v>판타지 웹소설 &gt; 현대 판타지</v>
      </c>
    </row>
    <row r="1991" spans="1:48" x14ac:dyDescent="0.4">
      <c r="A1991">
        <v>2313003101</v>
      </c>
      <c r="B1991">
        <v>2313003151</v>
      </c>
      <c r="C1991" t="str">
        <f>T("로드 오브 머니 51화")</f>
        <v>로드 오브 머니 51화</v>
      </c>
      <c r="D1991" t="str">
        <f>T("51")</f>
        <v>51</v>
      </c>
      <c r="E1991" t="str">
        <f t="shared" si="337"/>
        <v>무장</v>
      </c>
      <c r="H1991" t="str">
        <f t="shared" si="335"/>
        <v>스토리위즈</v>
      </c>
      <c r="I1991" t="str">
        <f t="shared" si="338"/>
        <v>로드 오브 머니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>
        <v>140</v>
      </c>
      <c r="AT1991" t="str">
        <f t="shared" si="339"/>
        <v>9791188630066</v>
      </c>
      <c r="AV1991" t="str">
        <f t="shared" si="336"/>
        <v>판타지 웹소설 &gt; 현대 판타지</v>
      </c>
    </row>
    <row r="1992" spans="1:48" x14ac:dyDescent="0.4">
      <c r="A1992">
        <v>2313003101</v>
      </c>
      <c r="B1992">
        <v>2313003152</v>
      </c>
      <c r="C1992" t="str">
        <f>T("로드 오브 머니 52화")</f>
        <v>로드 오브 머니 52화</v>
      </c>
      <c r="D1992" t="str">
        <f>T("52")</f>
        <v>52</v>
      </c>
      <c r="E1992" t="str">
        <f t="shared" si="337"/>
        <v>무장</v>
      </c>
      <c r="H1992" t="str">
        <f t="shared" si="335"/>
        <v>스토리위즈</v>
      </c>
      <c r="I1992" t="str">
        <f t="shared" si="338"/>
        <v>로드 오브 머니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>
        <v>140</v>
      </c>
      <c r="AT1992" t="str">
        <f t="shared" si="339"/>
        <v>9791188630066</v>
      </c>
      <c r="AV1992" t="str">
        <f t="shared" si="336"/>
        <v>판타지 웹소설 &gt; 현대 판타지</v>
      </c>
    </row>
    <row r="1993" spans="1:48" x14ac:dyDescent="0.4">
      <c r="A1993">
        <v>2313003101</v>
      </c>
      <c r="B1993">
        <v>2313003153</v>
      </c>
      <c r="C1993" t="str">
        <f>T("로드 오브 머니 53화")</f>
        <v>로드 오브 머니 53화</v>
      </c>
      <c r="D1993" t="str">
        <f>T("53")</f>
        <v>53</v>
      </c>
      <c r="E1993" t="str">
        <f t="shared" si="337"/>
        <v>무장</v>
      </c>
      <c r="H1993" t="str">
        <f t="shared" si="335"/>
        <v>스토리위즈</v>
      </c>
      <c r="I1993" t="str">
        <f t="shared" si="338"/>
        <v>로드 오브 머니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>
        <v>140</v>
      </c>
      <c r="AT1993" t="str">
        <f t="shared" si="339"/>
        <v>9791188630066</v>
      </c>
      <c r="AV1993" t="str">
        <f t="shared" si="336"/>
        <v>판타지 웹소설 &gt; 현대 판타지</v>
      </c>
    </row>
    <row r="1994" spans="1:48" x14ac:dyDescent="0.4">
      <c r="A1994">
        <v>2313003101</v>
      </c>
      <c r="B1994">
        <v>2313003154</v>
      </c>
      <c r="C1994" t="str">
        <f>T("로드 오브 머니 54화")</f>
        <v>로드 오브 머니 54화</v>
      </c>
      <c r="D1994" t="str">
        <f>T("54")</f>
        <v>54</v>
      </c>
      <c r="E1994" t="str">
        <f t="shared" si="337"/>
        <v>무장</v>
      </c>
      <c r="H1994" t="str">
        <f t="shared" si="335"/>
        <v>스토리위즈</v>
      </c>
      <c r="I1994" t="str">
        <f t="shared" si="338"/>
        <v>로드 오브 머니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>
        <v>140</v>
      </c>
      <c r="AT1994" t="str">
        <f t="shared" si="339"/>
        <v>9791188630066</v>
      </c>
      <c r="AV1994" t="str">
        <f t="shared" si="336"/>
        <v>판타지 웹소설 &gt; 현대 판타지</v>
      </c>
    </row>
    <row r="1995" spans="1:48" x14ac:dyDescent="0.4">
      <c r="A1995">
        <v>2313003101</v>
      </c>
      <c r="B1995">
        <v>2313003155</v>
      </c>
      <c r="C1995" t="str">
        <f>T("로드 오브 머니 55화")</f>
        <v>로드 오브 머니 55화</v>
      </c>
      <c r="D1995" t="str">
        <f>T("55")</f>
        <v>55</v>
      </c>
      <c r="E1995" t="str">
        <f t="shared" si="337"/>
        <v>무장</v>
      </c>
      <c r="H1995" t="str">
        <f t="shared" si="335"/>
        <v>스토리위즈</v>
      </c>
      <c r="I1995" t="str">
        <f t="shared" si="338"/>
        <v>로드 오브 머니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>
        <v>140</v>
      </c>
      <c r="AT1995" t="str">
        <f t="shared" si="339"/>
        <v>9791188630066</v>
      </c>
      <c r="AV1995" t="str">
        <f t="shared" si="336"/>
        <v>판타지 웹소설 &gt; 현대 판타지</v>
      </c>
    </row>
    <row r="1996" spans="1:48" x14ac:dyDescent="0.4">
      <c r="A1996">
        <v>2313003101</v>
      </c>
      <c r="B1996">
        <v>2313003156</v>
      </c>
      <c r="C1996" t="str">
        <f>T("로드 오브 머니 56화")</f>
        <v>로드 오브 머니 56화</v>
      </c>
      <c r="D1996" t="str">
        <f>T("56")</f>
        <v>56</v>
      </c>
      <c r="E1996" t="str">
        <f t="shared" si="337"/>
        <v>무장</v>
      </c>
      <c r="H1996" t="str">
        <f t="shared" si="335"/>
        <v>스토리위즈</v>
      </c>
      <c r="I1996" t="str">
        <f t="shared" si="338"/>
        <v>로드 오브 머니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>
        <v>140</v>
      </c>
      <c r="AT1996" t="str">
        <f t="shared" si="339"/>
        <v>9791188630066</v>
      </c>
      <c r="AV1996" t="str">
        <f t="shared" si="336"/>
        <v>판타지 웹소설 &gt; 현대 판타지</v>
      </c>
    </row>
    <row r="1997" spans="1:48" x14ac:dyDescent="0.4">
      <c r="A1997">
        <v>2313003101</v>
      </c>
      <c r="B1997">
        <v>2313003157</v>
      </c>
      <c r="C1997" t="str">
        <f>T("로드 오브 머니 57화")</f>
        <v>로드 오브 머니 57화</v>
      </c>
      <c r="D1997" t="str">
        <f>T("57")</f>
        <v>57</v>
      </c>
      <c r="E1997" t="str">
        <f t="shared" si="337"/>
        <v>무장</v>
      </c>
      <c r="H1997" t="str">
        <f t="shared" si="335"/>
        <v>스토리위즈</v>
      </c>
      <c r="I1997" t="str">
        <f t="shared" si="338"/>
        <v>로드 오브 머니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>
        <v>140</v>
      </c>
      <c r="AT1997" t="str">
        <f t="shared" si="339"/>
        <v>9791188630066</v>
      </c>
      <c r="AV1997" t="str">
        <f t="shared" si="336"/>
        <v>판타지 웹소설 &gt; 현대 판타지</v>
      </c>
    </row>
    <row r="1998" spans="1:48" x14ac:dyDescent="0.4">
      <c r="A1998">
        <v>2313003101</v>
      </c>
      <c r="B1998">
        <v>2313003158</v>
      </c>
      <c r="C1998" t="str">
        <f>T("로드 오브 머니 58화")</f>
        <v>로드 오브 머니 58화</v>
      </c>
      <c r="D1998" t="str">
        <f>T("58")</f>
        <v>58</v>
      </c>
      <c r="E1998" t="str">
        <f t="shared" si="337"/>
        <v>무장</v>
      </c>
      <c r="H1998" t="str">
        <f t="shared" si="335"/>
        <v>스토리위즈</v>
      </c>
      <c r="I1998" t="str">
        <f t="shared" si="338"/>
        <v>로드 오브 머니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200</v>
      </c>
      <c r="AL1998">
        <v>0</v>
      </c>
      <c r="AM1998">
        <v>0</v>
      </c>
      <c r="AN1998">
        <v>0</v>
      </c>
      <c r="AO1998">
        <v>0</v>
      </c>
      <c r="AP1998">
        <v>140</v>
      </c>
      <c r="AT1998" t="str">
        <f t="shared" si="339"/>
        <v>9791188630066</v>
      </c>
      <c r="AV1998" t="str">
        <f t="shared" si="336"/>
        <v>판타지 웹소설 &gt; 현대 판타지</v>
      </c>
    </row>
    <row r="1999" spans="1:48" x14ac:dyDescent="0.4">
      <c r="A1999">
        <v>2313003101</v>
      </c>
      <c r="B1999">
        <v>2313003159</v>
      </c>
      <c r="C1999" t="str">
        <f>T("로드 오브 머니 59화")</f>
        <v>로드 오브 머니 59화</v>
      </c>
      <c r="D1999" t="str">
        <f>T("59")</f>
        <v>59</v>
      </c>
      <c r="E1999" t="str">
        <f t="shared" si="337"/>
        <v>무장</v>
      </c>
      <c r="H1999" t="str">
        <f t="shared" si="335"/>
        <v>스토리위즈</v>
      </c>
      <c r="I1999" t="str">
        <f t="shared" si="338"/>
        <v>로드 오브 머니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200</v>
      </c>
      <c r="AL1999">
        <v>0</v>
      </c>
      <c r="AM1999">
        <v>0</v>
      </c>
      <c r="AN1999">
        <v>0</v>
      </c>
      <c r="AO1999">
        <v>0</v>
      </c>
      <c r="AP1999">
        <v>140</v>
      </c>
      <c r="AT1999" t="str">
        <f t="shared" si="339"/>
        <v>9791188630066</v>
      </c>
      <c r="AV1999" t="str">
        <f t="shared" si="336"/>
        <v>판타지 웹소설 &gt; 현대 판타지</v>
      </c>
    </row>
    <row r="2000" spans="1:48" x14ac:dyDescent="0.4">
      <c r="A2000">
        <v>2313003101</v>
      </c>
      <c r="B2000">
        <v>2313003160</v>
      </c>
      <c r="C2000" t="str">
        <f>T("로드 오브 머니 60화")</f>
        <v>로드 오브 머니 60화</v>
      </c>
      <c r="D2000" t="str">
        <f>T("60")</f>
        <v>60</v>
      </c>
      <c r="E2000" t="str">
        <f t="shared" si="337"/>
        <v>무장</v>
      </c>
      <c r="H2000" t="str">
        <f t="shared" si="335"/>
        <v>스토리위즈</v>
      </c>
      <c r="I2000" t="str">
        <f t="shared" si="338"/>
        <v>로드 오브 머니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200</v>
      </c>
      <c r="AL2000">
        <v>0</v>
      </c>
      <c r="AM2000">
        <v>0</v>
      </c>
      <c r="AN2000">
        <v>0</v>
      </c>
      <c r="AO2000">
        <v>0</v>
      </c>
      <c r="AP2000">
        <v>140</v>
      </c>
      <c r="AT2000" t="str">
        <f t="shared" si="339"/>
        <v>9791188630066</v>
      </c>
      <c r="AV2000" t="str">
        <f t="shared" si="336"/>
        <v>판타지 웹소설 &gt; 현대 판타지</v>
      </c>
    </row>
    <row r="2001" spans="1:48" x14ac:dyDescent="0.4">
      <c r="A2001">
        <v>2313003101</v>
      </c>
      <c r="B2001">
        <v>2313003161</v>
      </c>
      <c r="C2001" t="str">
        <f>T("로드 오브 머니 61화")</f>
        <v>로드 오브 머니 61화</v>
      </c>
      <c r="D2001" t="str">
        <f>T("61")</f>
        <v>61</v>
      </c>
      <c r="E2001" t="str">
        <f t="shared" si="337"/>
        <v>무장</v>
      </c>
      <c r="H2001" t="str">
        <f t="shared" si="335"/>
        <v>스토리위즈</v>
      </c>
      <c r="I2001" t="str">
        <f t="shared" si="338"/>
        <v>로드 오브 머니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200</v>
      </c>
      <c r="AL2001">
        <v>0</v>
      </c>
      <c r="AM2001">
        <v>0</v>
      </c>
      <c r="AN2001">
        <v>0</v>
      </c>
      <c r="AO2001">
        <v>0</v>
      </c>
      <c r="AP2001">
        <v>140</v>
      </c>
      <c r="AT2001" t="str">
        <f t="shared" si="339"/>
        <v>9791188630066</v>
      </c>
      <c r="AV2001" t="str">
        <f t="shared" si="336"/>
        <v>판타지 웹소설 &gt; 현대 판타지</v>
      </c>
    </row>
    <row r="2002" spans="1:48" x14ac:dyDescent="0.4">
      <c r="A2002">
        <v>2313003101</v>
      </c>
      <c r="B2002">
        <v>2313003162</v>
      </c>
      <c r="C2002" t="str">
        <f>T("로드 오브 머니 62화")</f>
        <v>로드 오브 머니 62화</v>
      </c>
      <c r="D2002" t="str">
        <f>T("62")</f>
        <v>62</v>
      </c>
      <c r="E2002" t="str">
        <f t="shared" si="337"/>
        <v>무장</v>
      </c>
      <c r="H2002" t="str">
        <f t="shared" si="335"/>
        <v>스토리위즈</v>
      </c>
      <c r="I2002" t="str">
        <f t="shared" si="338"/>
        <v>로드 오브 머니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200</v>
      </c>
      <c r="AL2002">
        <v>0</v>
      </c>
      <c r="AM2002">
        <v>0</v>
      </c>
      <c r="AN2002">
        <v>0</v>
      </c>
      <c r="AO2002">
        <v>0</v>
      </c>
      <c r="AP2002">
        <v>140</v>
      </c>
      <c r="AT2002" t="str">
        <f t="shared" si="339"/>
        <v>9791188630066</v>
      </c>
      <c r="AV2002" t="str">
        <f t="shared" si="336"/>
        <v>판타지 웹소설 &gt; 현대 판타지</v>
      </c>
    </row>
    <row r="2003" spans="1:48" x14ac:dyDescent="0.4">
      <c r="A2003">
        <v>2313003101</v>
      </c>
      <c r="B2003">
        <v>2313003163</v>
      </c>
      <c r="C2003" t="str">
        <f>T("로드 오브 머니 63화")</f>
        <v>로드 오브 머니 63화</v>
      </c>
      <c r="D2003" t="str">
        <f>T("63")</f>
        <v>63</v>
      </c>
      <c r="E2003" t="str">
        <f t="shared" si="337"/>
        <v>무장</v>
      </c>
      <c r="H2003" t="str">
        <f t="shared" si="335"/>
        <v>스토리위즈</v>
      </c>
      <c r="I2003" t="str">
        <f t="shared" si="338"/>
        <v>로드 오브 머니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200</v>
      </c>
      <c r="AL2003">
        <v>0</v>
      </c>
      <c r="AM2003">
        <v>0</v>
      </c>
      <c r="AN2003">
        <v>0</v>
      </c>
      <c r="AO2003">
        <v>0</v>
      </c>
      <c r="AP2003">
        <v>140</v>
      </c>
      <c r="AT2003" t="str">
        <f t="shared" si="339"/>
        <v>9791188630066</v>
      </c>
      <c r="AV2003" t="str">
        <f t="shared" si="336"/>
        <v>판타지 웹소설 &gt; 현대 판타지</v>
      </c>
    </row>
    <row r="2004" spans="1:48" x14ac:dyDescent="0.4">
      <c r="A2004">
        <v>2313003101</v>
      </c>
      <c r="B2004">
        <v>2313003164</v>
      </c>
      <c r="C2004" t="str">
        <f>T("로드 오브 머니 64화")</f>
        <v>로드 오브 머니 64화</v>
      </c>
      <c r="D2004" t="str">
        <f>T("64")</f>
        <v>64</v>
      </c>
      <c r="E2004" t="str">
        <f t="shared" si="337"/>
        <v>무장</v>
      </c>
      <c r="H2004" t="str">
        <f t="shared" si="335"/>
        <v>스토리위즈</v>
      </c>
      <c r="I2004" t="str">
        <f t="shared" si="338"/>
        <v>로드 오브 머니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200</v>
      </c>
      <c r="AL2004">
        <v>0</v>
      </c>
      <c r="AM2004">
        <v>0</v>
      </c>
      <c r="AN2004">
        <v>0</v>
      </c>
      <c r="AO2004">
        <v>0</v>
      </c>
      <c r="AP2004">
        <v>140</v>
      </c>
      <c r="AT2004" t="str">
        <f t="shared" si="339"/>
        <v>9791188630066</v>
      </c>
      <c r="AV2004" t="str">
        <f t="shared" si="336"/>
        <v>판타지 웹소설 &gt; 현대 판타지</v>
      </c>
    </row>
    <row r="2005" spans="1:48" x14ac:dyDescent="0.4">
      <c r="A2005">
        <v>2313003101</v>
      </c>
      <c r="B2005">
        <v>2313003165</v>
      </c>
      <c r="C2005" t="str">
        <f>T("로드 오브 머니 65화")</f>
        <v>로드 오브 머니 65화</v>
      </c>
      <c r="D2005" t="str">
        <f>T("65")</f>
        <v>65</v>
      </c>
      <c r="E2005" t="str">
        <f t="shared" si="337"/>
        <v>무장</v>
      </c>
      <c r="H2005" t="str">
        <f t="shared" si="335"/>
        <v>스토리위즈</v>
      </c>
      <c r="I2005" t="str">
        <f t="shared" si="338"/>
        <v>로드 오브 머니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200</v>
      </c>
      <c r="AL2005">
        <v>0</v>
      </c>
      <c r="AM2005">
        <v>0</v>
      </c>
      <c r="AN2005">
        <v>0</v>
      </c>
      <c r="AO2005">
        <v>0</v>
      </c>
      <c r="AP2005">
        <v>140</v>
      </c>
      <c r="AT2005" t="str">
        <f t="shared" si="339"/>
        <v>9791188630066</v>
      </c>
      <c r="AV2005" t="str">
        <f t="shared" si="336"/>
        <v>판타지 웹소설 &gt; 현대 판타지</v>
      </c>
    </row>
    <row r="2006" spans="1:48" x14ac:dyDescent="0.4">
      <c r="A2006">
        <v>2313003101</v>
      </c>
      <c r="B2006">
        <v>2313003166</v>
      </c>
      <c r="C2006" t="str">
        <f>T("로드 오브 머니 66화")</f>
        <v>로드 오브 머니 66화</v>
      </c>
      <c r="D2006" t="str">
        <f>T("66")</f>
        <v>66</v>
      </c>
      <c r="E2006" t="str">
        <f t="shared" si="337"/>
        <v>무장</v>
      </c>
      <c r="H2006" t="str">
        <f t="shared" si="335"/>
        <v>스토리위즈</v>
      </c>
      <c r="I2006" t="str">
        <f t="shared" si="338"/>
        <v>로드 오브 머니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200</v>
      </c>
      <c r="AL2006">
        <v>0</v>
      </c>
      <c r="AM2006">
        <v>0</v>
      </c>
      <c r="AN2006">
        <v>0</v>
      </c>
      <c r="AO2006">
        <v>0</v>
      </c>
      <c r="AP2006">
        <v>140</v>
      </c>
      <c r="AT2006" t="str">
        <f t="shared" si="339"/>
        <v>9791188630066</v>
      </c>
      <c r="AV2006" t="str">
        <f t="shared" si="336"/>
        <v>판타지 웹소설 &gt; 현대 판타지</v>
      </c>
    </row>
    <row r="2007" spans="1:48" x14ac:dyDescent="0.4">
      <c r="A2007">
        <v>2313003101</v>
      </c>
      <c r="B2007">
        <v>2313003167</v>
      </c>
      <c r="C2007" t="str">
        <f>T("로드 오브 머니 67화")</f>
        <v>로드 오브 머니 67화</v>
      </c>
      <c r="D2007" t="str">
        <f>T("67")</f>
        <v>67</v>
      </c>
      <c r="E2007" t="str">
        <f t="shared" si="337"/>
        <v>무장</v>
      </c>
      <c r="H2007" t="str">
        <f t="shared" si="335"/>
        <v>스토리위즈</v>
      </c>
      <c r="I2007" t="str">
        <f t="shared" si="338"/>
        <v>로드 오브 머니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200</v>
      </c>
      <c r="AL2007">
        <v>0</v>
      </c>
      <c r="AM2007">
        <v>0</v>
      </c>
      <c r="AN2007">
        <v>0</v>
      </c>
      <c r="AO2007">
        <v>0</v>
      </c>
      <c r="AP2007">
        <v>140</v>
      </c>
      <c r="AT2007" t="str">
        <f t="shared" si="339"/>
        <v>9791188630066</v>
      </c>
      <c r="AV2007" t="str">
        <f t="shared" si="336"/>
        <v>판타지 웹소설 &gt; 현대 판타지</v>
      </c>
    </row>
    <row r="2008" spans="1:48" x14ac:dyDescent="0.4">
      <c r="A2008">
        <v>2313003101</v>
      </c>
      <c r="B2008">
        <v>2313003168</v>
      </c>
      <c r="C2008" t="str">
        <f>T("로드 오브 머니 68화")</f>
        <v>로드 오브 머니 68화</v>
      </c>
      <c r="D2008" t="str">
        <f>T("68")</f>
        <v>68</v>
      </c>
      <c r="E2008" t="str">
        <f t="shared" si="337"/>
        <v>무장</v>
      </c>
      <c r="H2008" t="str">
        <f t="shared" si="335"/>
        <v>스토리위즈</v>
      </c>
      <c r="I2008" t="str">
        <f t="shared" si="338"/>
        <v>로드 오브 머니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200</v>
      </c>
      <c r="AL2008">
        <v>0</v>
      </c>
      <c r="AM2008">
        <v>0</v>
      </c>
      <c r="AN2008">
        <v>0</v>
      </c>
      <c r="AO2008">
        <v>0</v>
      </c>
      <c r="AP2008">
        <v>140</v>
      </c>
      <c r="AT2008" t="str">
        <f t="shared" si="339"/>
        <v>9791188630066</v>
      </c>
      <c r="AV2008" t="str">
        <f t="shared" si="336"/>
        <v>판타지 웹소설 &gt; 현대 판타지</v>
      </c>
    </row>
    <row r="2009" spans="1:48" x14ac:dyDescent="0.4">
      <c r="A2009">
        <v>2313003101</v>
      </c>
      <c r="B2009">
        <v>2313003169</v>
      </c>
      <c r="C2009" t="str">
        <f>T("로드 오브 머니 69화")</f>
        <v>로드 오브 머니 69화</v>
      </c>
      <c r="D2009" t="str">
        <f>T("69")</f>
        <v>69</v>
      </c>
      <c r="E2009" t="str">
        <f t="shared" si="337"/>
        <v>무장</v>
      </c>
      <c r="H2009" t="str">
        <f t="shared" si="335"/>
        <v>스토리위즈</v>
      </c>
      <c r="I2009" t="str">
        <f t="shared" si="338"/>
        <v>로드 오브 머니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200</v>
      </c>
      <c r="AL2009">
        <v>0</v>
      </c>
      <c r="AM2009">
        <v>0</v>
      </c>
      <c r="AN2009">
        <v>0</v>
      </c>
      <c r="AO2009">
        <v>0</v>
      </c>
      <c r="AP2009">
        <v>140</v>
      </c>
      <c r="AT2009" t="str">
        <f t="shared" si="339"/>
        <v>9791188630066</v>
      </c>
      <c r="AV2009" t="str">
        <f t="shared" si="336"/>
        <v>판타지 웹소설 &gt; 현대 판타지</v>
      </c>
    </row>
    <row r="2010" spans="1:48" x14ac:dyDescent="0.4">
      <c r="A2010">
        <v>2313003101</v>
      </c>
      <c r="B2010">
        <v>2313003170</v>
      </c>
      <c r="C2010" t="str">
        <f>T("로드 오브 머니 70화")</f>
        <v>로드 오브 머니 70화</v>
      </c>
      <c r="D2010" t="str">
        <f>T("70")</f>
        <v>70</v>
      </c>
      <c r="E2010" t="str">
        <f t="shared" si="337"/>
        <v>무장</v>
      </c>
      <c r="H2010" t="str">
        <f t="shared" si="335"/>
        <v>스토리위즈</v>
      </c>
      <c r="I2010" t="str">
        <f t="shared" si="338"/>
        <v>로드 오브 머니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200</v>
      </c>
      <c r="AL2010">
        <v>0</v>
      </c>
      <c r="AM2010">
        <v>0</v>
      </c>
      <c r="AN2010">
        <v>0</v>
      </c>
      <c r="AO2010">
        <v>0</v>
      </c>
      <c r="AP2010">
        <v>140</v>
      </c>
      <c r="AT2010" t="str">
        <f t="shared" si="339"/>
        <v>9791188630066</v>
      </c>
      <c r="AV2010" t="str">
        <f t="shared" si="336"/>
        <v>판타지 웹소설 &gt; 현대 판타지</v>
      </c>
    </row>
    <row r="2011" spans="1:48" x14ac:dyDescent="0.4">
      <c r="A2011">
        <v>2313003101</v>
      </c>
      <c r="B2011">
        <v>2313003171</v>
      </c>
      <c r="C2011" t="str">
        <f>T("로드 오브 머니 71화")</f>
        <v>로드 오브 머니 71화</v>
      </c>
      <c r="D2011" t="str">
        <f>T("71")</f>
        <v>71</v>
      </c>
      <c r="E2011" t="str">
        <f t="shared" si="337"/>
        <v>무장</v>
      </c>
      <c r="H2011" t="str">
        <f t="shared" si="335"/>
        <v>스토리위즈</v>
      </c>
      <c r="I2011" t="str">
        <f t="shared" si="338"/>
        <v>로드 오브 머니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200</v>
      </c>
      <c r="AL2011">
        <v>0</v>
      </c>
      <c r="AM2011">
        <v>0</v>
      </c>
      <c r="AN2011">
        <v>0</v>
      </c>
      <c r="AO2011">
        <v>0</v>
      </c>
      <c r="AP2011">
        <v>140</v>
      </c>
      <c r="AT2011" t="str">
        <f t="shared" si="339"/>
        <v>9791188630066</v>
      </c>
      <c r="AV2011" t="str">
        <f t="shared" si="336"/>
        <v>판타지 웹소설 &gt; 현대 판타지</v>
      </c>
    </row>
    <row r="2012" spans="1:48" x14ac:dyDescent="0.4">
      <c r="A2012">
        <v>2313003101</v>
      </c>
      <c r="B2012">
        <v>2313003172</v>
      </c>
      <c r="C2012" t="str">
        <f>T("로드 오브 머니 72화")</f>
        <v>로드 오브 머니 72화</v>
      </c>
      <c r="D2012" t="str">
        <f>T("72")</f>
        <v>72</v>
      </c>
      <c r="E2012" t="str">
        <f t="shared" si="337"/>
        <v>무장</v>
      </c>
      <c r="H2012" t="str">
        <f t="shared" si="335"/>
        <v>스토리위즈</v>
      </c>
      <c r="I2012" t="str">
        <f t="shared" si="338"/>
        <v>로드 오브 머니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200</v>
      </c>
      <c r="AL2012">
        <v>0</v>
      </c>
      <c r="AM2012">
        <v>0</v>
      </c>
      <c r="AN2012">
        <v>0</v>
      </c>
      <c r="AO2012">
        <v>0</v>
      </c>
      <c r="AP2012">
        <v>140</v>
      </c>
      <c r="AT2012" t="str">
        <f t="shared" si="339"/>
        <v>9791188630066</v>
      </c>
      <c r="AV2012" t="str">
        <f t="shared" si="336"/>
        <v>판타지 웹소설 &gt; 현대 판타지</v>
      </c>
    </row>
    <row r="2013" spans="1:48" x14ac:dyDescent="0.4">
      <c r="A2013">
        <v>2313003101</v>
      </c>
      <c r="B2013">
        <v>2313003173</v>
      </c>
      <c r="C2013" t="str">
        <f>T("로드 오브 머니 73화")</f>
        <v>로드 오브 머니 73화</v>
      </c>
      <c r="D2013" t="str">
        <f>T("73")</f>
        <v>73</v>
      </c>
      <c r="E2013" t="str">
        <f t="shared" si="337"/>
        <v>무장</v>
      </c>
      <c r="H2013" t="str">
        <f t="shared" si="335"/>
        <v>스토리위즈</v>
      </c>
      <c r="I2013" t="str">
        <f t="shared" si="338"/>
        <v>로드 오브 머니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200</v>
      </c>
      <c r="AL2013">
        <v>0</v>
      </c>
      <c r="AM2013">
        <v>0</v>
      </c>
      <c r="AN2013">
        <v>0</v>
      </c>
      <c r="AO2013">
        <v>0</v>
      </c>
      <c r="AP2013">
        <v>140</v>
      </c>
      <c r="AT2013" t="str">
        <f t="shared" si="339"/>
        <v>9791188630066</v>
      </c>
      <c r="AV2013" t="str">
        <f t="shared" si="336"/>
        <v>판타지 웹소설 &gt; 현대 판타지</v>
      </c>
    </row>
    <row r="2014" spans="1:48" x14ac:dyDescent="0.4">
      <c r="A2014">
        <v>2313003101</v>
      </c>
      <c r="B2014">
        <v>2313003174</v>
      </c>
      <c r="C2014" t="str">
        <f>T("로드 오브 머니 74화")</f>
        <v>로드 오브 머니 74화</v>
      </c>
      <c r="D2014" t="str">
        <f>T("74")</f>
        <v>74</v>
      </c>
      <c r="E2014" t="str">
        <f t="shared" si="337"/>
        <v>무장</v>
      </c>
      <c r="H2014" t="str">
        <f t="shared" si="335"/>
        <v>스토리위즈</v>
      </c>
      <c r="I2014" t="str">
        <f t="shared" si="338"/>
        <v>로드 오브 머니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200</v>
      </c>
      <c r="AL2014">
        <v>0</v>
      </c>
      <c r="AM2014">
        <v>0</v>
      </c>
      <c r="AN2014">
        <v>0</v>
      </c>
      <c r="AO2014">
        <v>0</v>
      </c>
      <c r="AP2014">
        <v>140</v>
      </c>
      <c r="AT2014" t="str">
        <f t="shared" si="339"/>
        <v>9791188630066</v>
      </c>
      <c r="AV2014" t="str">
        <f t="shared" si="336"/>
        <v>판타지 웹소설 &gt; 현대 판타지</v>
      </c>
    </row>
    <row r="2015" spans="1:48" x14ac:dyDescent="0.4">
      <c r="A2015">
        <v>2313003101</v>
      </c>
      <c r="B2015">
        <v>2313003175</v>
      </c>
      <c r="C2015" t="str">
        <f>T("로드 오브 머니 75화")</f>
        <v>로드 오브 머니 75화</v>
      </c>
      <c r="D2015" t="str">
        <f>T("75")</f>
        <v>75</v>
      </c>
      <c r="E2015" t="str">
        <f t="shared" si="337"/>
        <v>무장</v>
      </c>
      <c r="H2015" t="str">
        <f t="shared" si="335"/>
        <v>스토리위즈</v>
      </c>
      <c r="I2015" t="str">
        <f t="shared" si="338"/>
        <v>로드 오브 머니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200</v>
      </c>
      <c r="AL2015">
        <v>0</v>
      </c>
      <c r="AM2015">
        <v>0</v>
      </c>
      <c r="AN2015">
        <v>0</v>
      </c>
      <c r="AO2015">
        <v>0</v>
      </c>
      <c r="AP2015">
        <v>140</v>
      </c>
      <c r="AT2015" t="str">
        <f t="shared" si="339"/>
        <v>9791188630066</v>
      </c>
      <c r="AV2015" t="str">
        <f t="shared" si="336"/>
        <v>판타지 웹소설 &gt; 현대 판타지</v>
      </c>
    </row>
    <row r="2016" spans="1:48" x14ac:dyDescent="0.4">
      <c r="A2016">
        <v>2313003101</v>
      </c>
      <c r="B2016">
        <v>2313003176</v>
      </c>
      <c r="C2016" t="str">
        <f>T("로드 오브 머니 76화")</f>
        <v>로드 오브 머니 76화</v>
      </c>
      <c r="D2016" t="str">
        <f>T("76")</f>
        <v>76</v>
      </c>
      <c r="E2016" t="str">
        <f t="shared" si="337"/>
        <v>무장</v>
      </c>
      <c r="H2016" t="str">
        <f t="shared" si="335"/>
        <v>스토리위즈</v>
      </c>
      <c r="I2016" t="str">
        <f t="shared" si="338"/>
        <v>로드 오브 머니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200</v>
      </c>
      <c r="AL2016">
        <v>0</v>
      </c>
      <c r="AM2016">
        <v>0</v>
      </c>
      <c r="AN2016">
        <v>0</v>
      </c>
      <c r="AO2016">
        <v>0</v>
      </c>
      <c r="AP2016">
        <v>140</v>
      </c>
      <c r="AT2016" t="str">
        <f t="shared" si="339"/>
        <v>9791188630066</v>
      </c>
      <c r="AV2016" t="str">
        <f t="shared" si="336"/>
        <v>판타지 웹소설 &gt; 현대 판타지</v>
      </c>
    </row>
    <row r="2017" spans="1:48" x14ac:dyDescent="0.4">
      <c r="A2017">
        <v>2313003101</v>
      </c>
      <c r="B2017">
        <v>2313003177</v>
      </c>
      <c r="C2017" t="str">
        <f>T("로드 오브 머니 77화")</f>
        <v>로드 오브 머니 77화</v>
      </c>
      <c r="D2017" t="str">
        <f>T("77")</f>
        <v>77</v>
      </c>
      <c r="E2017" t="str">
        <f t="shared" si="337"/>
        <v>무장</v>
      </c>
      <c r="H2017" t="str">
        <f t="shared" si="335"/>
        <v>스토리위즈</v>
      </c>
      <c r="I2017" t="str">
        <f t="shared" si="338"/>
        <v>로드 오브 머니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200</v>
      </c>
      <c r="AL2017">
        <v>0</v>
      </c>
      <c r="AM2017">
        <v>0</v>
      </c>
      <c r="AN2017">
        <v>0</v>
      </c>
      <c r="AO2017">
        <v>0</v>
      </c>
      <c r="AP2017">
        <v>140</v>
      </c>
      <c r="AT2017" t="str">
        <f t="shared" si="339"/>
        <v>9791188630066</v>
      </c>
      <c r="AV2017" t="str">
        <f t="shared" si="336"/>
        <v>판타지 웹소설 &gt; 현대 판타지</v>
      </c>
    </row>
    <row r="2018" spans="1:48" x14ac:dyDescent="0.4">
      <c r="A2018">
        <v>2313003101</v>
      </c>
      <c r="B2018">
        <v>2313003178</v>
      </c>
      <c r="C2018" t="str">
        <f>T("로드 오브 머니 78화")</f>
        <v>로드 오브 머니 78화</v>
      </c>
      <c r="D2018" t="str">
        <f>T("78")</f>
        <v>78</v>
      </c>
      <c r="E2018" t="str">
        <f t="shared" si="337"/>
        <v>무장</v>
      </c>
      <c r="H2018" t="str">
        <f t="shared" si="335"/>
        <v>스토리위즈</v>
      </c>
      <c r="I2018" t="str">
        <f t="shared" si="338"/>
        <v>로드 오브 머니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200</v>
      </c>
      <c r="AL2018">
        <v>0</v>
      </c>
      <c r="AM2018">
        <v>0</v>
      </c>
      <c r="AN2018">
        <v>0</v>
      </c>
      <c r="AO2018">
        <v>0</v>
      </c>
      <c r="AP2018">
        <v>140</v>
      </c>
      <c r="AT2018" t="str">
        <f t="shared" si="339"/>
        <v>9791188630066</v>
      </c>
      <c r="AV2018" t="str">
        <f t="shared" si="336"/>
        <v>판타지 웹소설 &gt; 현대 판타지</v>
      </c>
    </row>
    <row r="2019" spans="1:48" x14ac:dyDescent="0.4">
      <c r="A2019">
        <v>2313003101</v>
      </c>
      <c r="B2019">
        <v>2313003179</v>
      </c>
      <c r="C2019" t="str">
        <f>T("로드 오브 머니 79화")</f>
        <v>로드 오브 머니 79화</v>
      </c>
      <c r="D2019" t="str">
        <f>T("79")</f>
        <v>79</v>
      </c>
      <c r="E2019" t="str">
        <f t="shared" si="337"/>
        <v>무장</v>
      </c>
      <c r="H2019" t="str">
        <f t="shared" ref="H2019:H2082" si="340">T("스토리위즈")</f>
        <v>스토리위즈</v>
      </c>
      <c r="I2019" t="str">
        <f t="shared" si="338"/>
        <v>로드 오브 머니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200</v>
      </c>
      <c r="AL2019">
        <v>0</v>
      </c>
      <c r="AM2019">
        <v>0</v>
      </c>
      <c r="AN2019">
        <v>0</v>
      </c>
      <c r="AO2019">
        <v>0</v>
      </c>
      <c r="AP2019">
        <v>140</v>
      </c>
      <c r="AT2019" t="str">
        <f t="shared" si="339"/>
        <v>9791188630066</v>
      </c>
      <c r="AV2019" t="str">
        <f t="shared" si="336"/>
        <v>판타지 웹소설 &gt; 현대 판타지</v>
      </c>
    </row>
    <row r="2020" spans="1:48" x14ac:dyDescent="0.4">
      <c r="A2020">
        <v>2313003101</v>
      </c>
      <c r="B2020">
        <v>2313003180</v>
      </c>
      <c r="C2020" t="str">
        <f>T("로드 오브 머니 80화")</f>
        <v>로드 오브 머니 80화</v>
      </c>
      <c r="D2020" t="str">
        <f>T("80")</f>
        <v>80</v>
      </c>
      <c r="E2020" t="str">
        <f t="shared" si="337"/>
        <v>무장</v>
      </c>
      <c r="H2020" t="str">
        <f t="shared" si="340"/>
        <v>스토리위즈</v>
      </c>
      <c r="I2020" t="str">
        <f t="shared" si="338"/>
        <v>로드 오브 머니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200</v>
      </c>
      <c r="AL2020">
        <v>0</v>
      </c>
      <c r="AM2020">
        <v>0</v>
      </c>
      <c r="AN2020">
        <v>0</v>
      </c>
      <c r="AO2020">
        <v>0</v>
      </c>
      <c r="AP2020">
        <v>140</v>
      </c>
      <c r="AT2020" t="str">
        <f t="shared" si="339"/>
        <v>9791188630066</v>
      </c>
      <c r="AV2020" t="str">
        <f t="shared" si="336"/>
        <v>판타지 웹소설 &gt; 현대 판타지</v>
      </c>
    </row>
    <row r="2021" spans="1:48" x14ac:dyDescent="0.4">
      <c r="A2021">
        <v>2313003101</v>
      </c>
      <c r="B2021">
        <v>2313003181</v>
      </c>
      <c r="C2021" t="str">
        <f>T("로드 오브 머니 81화")</f>
        <v>로드 오브 머니 81화</v>
      </c>
      <c r="D2021" t="str">
        <f>T("81")</f>
        <v>81</v>
      </c>
      <c r="E2021" t="str">
        <f t="shared" si="337"/>
        <v>무장</v>
      </c>
      <c r="H2021" t="str">
        <f t="shared" si="340"/>
        <v>스토리위즈</v>
      </c>
      <c r="I2021" t="str">
        <f t="shared" si="338"/>
        <v>로드 오브 머니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200</v>
      </c>
      <c r="AL2021">
        <v>0</v>
      </c>
      <c r="AM2021">
        <v>0</v>
      </c>
      <c r="AN2021">
        <v>0</v>
      </c>
      <c r="AO2021">
        <v>0</v>
      </c>
      <c r="AP2021">
        <v>140</v>
      </c>
      <c r="AT2021" t="str">
        <f t="shared" si="339"/>
        <v>9791188630066</v>
      </c>
      <c r="AV2021" t="str">
        <f t="shared" si="336"/>
        <v>판타지 웹소설 &gt; 현대 판타지</v>
      </c>
    </row>
    <row r="2022" spans="1:48" x14ac:dyDescent="0.4">
      <c r="A2022">
        <v>2313003101</v>
      </c>
      <c r="B2022">
        <v>2313003182</v>
      </c>
      <c r="C2022" t="str">
        <f>T("로드 오브 머니 82화")</f>
        <v>로드 오브 머니 82화</v>
      </c>
      <c r="D2022" t="str">
        <f>T("82")</f>
        <v>82</v>
      </c>
      <c r="E2022" t="str">
        <f t="shared" si="337"/>
        <v>무장</v>
      </c>
      <c r="H2022" t="str">
        <f t="shared" si="340"/>
        <v>스토리위즈</v>
      </c>
      <c r="I2022" t="str">
        <f t="shared" si="338"/>
        <v>로드 오브 머니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200</v>
      </c>
      <c r="AL2022">
        <v>0</v>
      </c>
      <c r="AM2022">
        <v>0</v>
      </c>
      <c r="AN2022">
        <v>0</v>
      </c>
      <c r="AO2022">
        <v>0</v>
      </c>
      <c r="AP2022">
        <v>140</v>
      </c>
      <c r="AT2022" t="str">
        <f t="shared" si="339"/>
        <v>9791188630066</v>
      </c>
      <c r="AV2022" t="str">
        <f t="shared" si="336"/>
        <v>판타지 웹소설 &gt; 현대 판타지</v>
      </c>
    </row>
    <row r="2023" spans="1:48" x14ac:dyDescent="0.4">
      <c r="A2023">
        <v>2313003101</v>
      </c>
      <c r="B2023">
        <v>2313003183</v>
      </c>
      <c r="C2023" t="str">
        <f>T("로드 오브 머니 83화")</f>
        <v>로드 오브 머니 83화</v>
      </c>
      <c r="D2023" t="str">
        <f>T("83")</f>
        <v>83</v>
      </c>
      <c r="E2023" t="str">
        <f t="shared" si="337"/>
        <v>무장</v>
      </c>
      <c r="H2023" t="str">
        <f t="shared" si="340"/>
        <v>스토리위즈</v>
      </c>
      <c r="I2023" t="str">
        <f t="shared" si="338"/>
        <v>로드 오브 머니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200</v>
      </c>
      <c r="AL2023">
        <v>0</v>
      </c>
      <c r="AM2023">
        <v>0</v>
      </c>
      <c r="AN2023">
        <v>0</v>
      </c>
      <c r="AO2023">
        <v>0</v>
      </c>
      <c r="AP2023">
        <v>140</v>
      </c>
      <c r="AT2023" t="str">
        <f t="shared" si="339"/>
        <v>9791188630066</v>
      </c>
      <c r="AV2023" t="str">
        <f t="shared" si="336"/>
        <v>판타지 웹소설 &gt; 현대 판타지</v>
      </c>
    </row>
    <row r="2024" spans="1:48" x14ac:dyDescent="0.4">
      <c r="A2024">
        <v>2313003101</v>
      </c>
      <c r="B2024">
        <v>2313003184</v>
      </c>
      <c r="C2024" t="str">
        <f>T("로드 오브 머니 84화")</f>
        <v>로드 오브 머니 84화</v>
      </c>
      <c r="D2024" t="str">
        <f>T("84")</f>
        <v>84</v>
      </c>
      <c r="E2024" t="str">
        <f t="shared" si="337"/>
        <v>무장</v>
      </c>
      <c r="H2024" t="str">
        <f t="shared" si="340"/>
        <v>스토리위즈</v>
      </c>
      <c r="I2024" t="str">
        <f t="shared" si="338"/>
        <v>로드 오브 머니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200</v>
      </c>
      <c r="AL2024">
        <v>0</v>
      </c>
      <c r="AM2024">
        <v>0</v>
      </c>
      <c r="AN2024">
        <v>0</v>
      </c>
      <c r="AO2024">
        <v>0</v>
      </c>
      <c r="AP2024">
        <v>140</v>
      </c>
      <c r="AT2024" t="str">
        <f t="shared" si="339"/>
        <v>9791188630066</v>
      </c>
      <c r="AV2024" t="str">
        <f t="shared" ref="AV2024:AV2072" si="341">T("판타지 웹소설 &gt; 현대 판타지")</f>
        <v>판타지 웹소설 &gt; 현대 판타지</v>
      </c>
    </row>
    <row r="2025" spans="1:48" x14ac:dyDescent="0.4">
      <c r="A2025">
        <v>2313003101</v>
      </c>
      <c r="B2025">
        <v>2313003185</v>
      </c>
      <c r="C2025" t="str">
        <f>T("로드 오브 머니 85화")</f>
        <v>로드 오브 머니 85화</v>
      </c>
      <c r="D2025" t="str">
        <f>T("85")</f>
        <v>85</v>
      </c>
      <c r="E2025" t="str">
        <f t="shared" si="337"/>
        <v>무장</v>
      </c>
      <c r="H2025" t="str">
        <f t="shared" si="340"/>
        <v>스토리위즈</v>
      </c>
      <c r="I2025" t="str">
        <f t="shared" si="338"/>
        <v>로드 오브 머니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200</v>
      </c>
      <c r="AL2025">
        <v>0</v>
      </c>
      <c r="AM2025">
        <v>0</v>
      </c>
      <c r="AN2025">
        <v>0</v>
      </c>
      <c r="AO2025">
        <v>0</v>
      </c>
      <c r="AP2025">
        <v>140</v>
      </c>
      <c r="AT2025" t="str">
        <f t="shared" si="339"/>
        <v>9791188630066</v>
      </c>
      <c r="AV2025" t="str">
        <f t="shared" si="341"/>
        <v>판타지 웹소설 &gt; 현대 판타지</v>
      </c>
    </row>
    <row r="2026" spans="1:48" x14ac:dyDescent="0.4">
      <c r="A2026">
        <v>2313003101</v>
      </c>
      <c r="B2026">
        <v>2313003186</v>
      </c>
      <c r="C2026" t="str">
        <f>T("로드 오브 머니 86화")</f>
        <v>로드 오브 머니 86화</v>
      </c>
      <c r="D2026" t="str">
        <f>T("86")</f>
        <v>86</v>
      </c>
      <c r="E2026" t="str">
        <f t="shared" si="337"/>
        <v>무장</v>
      </c>
      <c r="H2026" t="str">
        <f t="shared" si="340"/>
        <v>스토리위즈</v>
      </c>
      <c r="I2026" t="str">
        <f t="shared" si="338"/>
        <v>로드 오브 머니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200</v>
      </c>
      <c r="AL2026">
        <v>0</v>
      </c>
      <c r="AM2026">
        <v>0</v>
      </c>
      <c r="AN2026">
        <v>0</v>
      </c>
      <c r="AO2026">
        <v>0</v>
      </c>
      <c r="AP2026">
        <v>140</v>
      </c>
      <c r="AT2026" t="str">
        <f t="shared" si="339"/>
        <v>9791188630066</v>
      </c>
      <c r="AV2026" t="str">
        <f t="shared" si="341"/>
        <v>판타지 웹소설 &gt; 현대 판타지</v>
      </c>
    </row>
    <row r="2027" spans="1:48" x14ac:dyDescent="0.4">
      <c r="A2027">
        <v>2313003101</v>
      </c>
      <c r="B2027">
        <v>2313003187</v>
      </c>
      <c r="C2027" t="str">
        <f>T("로드 오브 머니 87화")</f>
        <v>로드 오브 머니 87화</v>
      </c>
      <c r="D2027" t="str">
        <f>T("87")</f>
        <v>87</v>
      </c>
      <c r="E2027" t="str">
        <f t="shared" si="337"/>
        <v>무장</v>
      </c>
      <c r="H2027" t="str">
        <f t="shared" si="340"/>
        <v>스토리위즈</v>
      </c>
      <c r="I2027" t="str">
        <f t="shared" si="338"/>
        <v>로드 오브 머니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200</v>
      </c>
      <c r="AL2027">
        <v>0</v>
      </c>
      <c r="AM2027">
        <v>0</v>
      </c>
      <c r="AN2027">
        <v>0</v>
      </c>
      <c r="AO2027">
        <v>0</v>
      </c>
      <c r="AP2027">
        <v>140</v>
      </c>
      <c r="AT2027" t="str">
        <f t="shared" si="339"/>
        <v>9791188630066</v>
      </c>
      <c r="AV2027" t="str">
        <f t="shared" si="341"/>
        <v>판타지 웹소설 &gt; 현대 판타지</v>
      </c>
    </row>
    <row r="2028" spans="1:48" x14ac:dyDescent="0.4">
      <c r="A2028">
        <v>2313003101</v>
      </c>
      <c r="B2028">
        <v>2313003188</v>
      </c>
      <c r="C2028" t="str">
        <f>T("로드 오브 머니 88화")</f>
        <v>로드 오브 머니 88화</v>
      </c>
      <c r="D2028" t="str">
        <f>T("88")</f>
        <v>88</v>
      </c>
      <c r="E2028" t="str">
        <f t="shared" ref="E2028:E2072" si="342">T("무장")</f>
        <v>무장</v>
      </c>
      <c r="H2028" t="str">
        <f t="shared" si="340"/>
        <v>스토리위즈</v>
      </c>
      <c r="I2028" t="str">
        <f t="shared" ref="I2028:I2072" si="343">T("로드 오브 머니")</f>
        <v>로드 오브 머니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200</v>
      </c>
      <c r="AL2028">
        <v>0</v>
      </c>
      <c r="AM2028">
        <v>0</v>
      </c>
      <c r="AN2028">
        <v>0</v>
      </c>
      <c r="AO2028">
        <v>0</v>
      </c>
      <c r="AP2028">
        <v>140</v>
      </c>
      <c r="AT2028" t="str">
        <f t="shared" ref="AT2028:AT2072" si="344">T("9791188630066")</f>
        <v>9791188630066</v>
      </c>
      <c r="AV2028" t="str">
        <f t="shared" si="341"/>
        <v>판타지 웹소설 &gt; 현대 판타지</v>
      </c>
    </row>
    <row r="2029" spans="1:48" x14ac:dyDescent="0.4">
      <c r="A2029">
        <v>2313003101</v>
      </c>
      <c r="B2029">
        <v>2313003189</v>
      </c>
      <c r="C2029" t="str">
        <f>T("로드 오브 머니 89화")</f>
        <v>로드 오브 머니 89화</v>
      </c>
      <c r="D2029" t="str">
        <f>T("89")</f>
        <v>89</v>
      </c>
      <c r="E2029" t="str">
        <f t="shared" si="342"/>
        <v>무장</v>
      </c>
      <c r="H2029" t="str">
        <f t="shared" si="340"/>
        <v>스토리위즈</v>
      </c>
      <c r="I2029" t="str">
        <f t="shared" si="343"/>
        <v>로드 오브 머니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200</v>
      </c>
      <c r="AL2029">
        <v>0</v>
      </c>
      <c r="AM2029">
        <v>0</v>
      </c>
      <c r="AN2029">
        <v>0</v>
      </c>
      <c r="AO2029">
        <v>0</v>
      </c>
      <c r="AP2029">
        <v>140</v>
      </c>
      <c r="AT2029" t="str">
        <f t="shared" si="344"/>
        <v>9791188630066</v>
      </c>
      <c r="AV2029" t="str">
        <f t="shared" si="341"/>
        <v>판타지 웹소설 &gt; 현대 판타지</v>
      </c>
    </row>
    <row r="2030" spans="1:48" x14ac:dyDescent="0.4">
      <c r="A2030">
        <v>2313003101</v>
      </c>
      <c r="B2030">
        <v>2313003190</v>
      </c>
      <c r="C2030" t="str">
        <f>T("로드 오브 머니 90화")</f>
        <v>로드 오브 머니 90화</v>
      </c>
      <c r="D2030" t="str">
        <f>T("90")</f>
        <v>90</v>
      </c>
      <c r="E2030" t="str">
        <f t="shared" si="342"/>
        <v>무장</v>
      </c>
      <c r="H2030" t="str">
        <f t="shared" si="340"/>
        <v>스토리위즈</v>
      </c>
      <c r="I2030" t="str">
        <f t="shared" si="343"/>
        <v>로드 오브 머니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200</v>
      </c>
      <c r="AL2030">
        <v>0</v>
      </c>
      <c r="AM2030">
        <v>0</v>
      </c>
      <c r="AN2030">
        <v>0</v>
      </c>
      <c r="AO2030">
        <v>0</v>
      </c>
      <c r="AP2030">
        <v>140</v>
      </c>
      <c r="AT2030" t="str">
        <f t="shared" si="344"/>
        <v>9791188630066</v>
      </c>
      <c r="AV2030" t="str">
        <f t="shared" si="341"/>
        <v>판타지 웹소설 &gt; 현대 판타지</v>
      </c>
    </row>
    <row r="2031" spans="1:48" x14ac:dyDescent="0.4">
      <c r="A2031">
        <v>2313003101</v>
      </c>
      <c r="B2031">
        <v>2313003191</v>
      </c>
      <c r="C2031" t="str">
        <f>T("로드 오브 머니 91화")</f>
        <v>로드 오브 머니 91화</v>
      </c>
      <c r="D2031" t="str">
        <f>T("91")</f>
        <v>91</v>
      </c>
      <c r="E2031" t="str">
        <f t="shared" si="342"/>
        <v>무장</v>
      </c>
      <c r="H2031" t="str">
        <f t="shared" si="340"/>
        <v>스토리위즈</v>
      </c>
      <c r="I2031" t="str">
        <f t="shared" si="343"/>
        <v>로드 오브 머니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200</v>
      </c>
      <c r="AL2031">
        <v>0</v>
      </c>
      <c r="AM2031">
        <v>0</v>
      </c>
      <c r="AN2031">
        <v>0</v>
      </c>
      <c r="AO2031">
        <v>0</v>
      </c>
      <c r="AP2031">
        <v>140</v>
      </c>
      <c r="AT2031" t="str">
        <f t="shared" si="344"/>
        <v>9791188630066</v>
      </c>
      <c r="AV2031" t="str">
        <f t="shared" si="341"/>
        <v>판타지 웹소설 &gt; 현대 판타지</v>
      </c>
    </row>
    <row r="2032" spans="1:48" x14ac:dyDescent="0.4">
      <c r="A2032">
        <v>2313003101</v>
      </c>
      <c r="B2032">
        <v>2313003192</v>
      </c>
      <c r="C2032" t="str">
        <f>T("로드 오브 머니 92화")</f>
        <v>로드 오브 머니 92화</v>
      </c>
      <c r="D2032" t="str">
        <f>T("92")</f>
        <v>92</v>
      </c>
      <c r="E2032" t="str">
        <f t="shared" si="342"/>
        <v>무장</v>
      </c>
      <c r="H2032" t="str">
        <f t="shared" si="340"/>
        <v>스토리위즈</v>
      </c>
      <c r="I2032" t="str">
        <f t="shared" si="343"/>
        <v>로드 오브 머니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200</v>
      </c>
      <c r="AL2032">
        <v>0</v>
      </c>
      <c r="AM2032">
        <v>0</v>
      </c>
      <c r="AN2032">
        <v>0</v>
      </c>
      <c r="AO2032">
        <v>0</v>
      </c>
      <c r="AP2032">
        <v>140</v>
      </c>
      <c r="AT2032" t="str">
        <f t="shared" si="344"/>
        <v>9791188630066</v>
      </c>
      <c r="AV2032" t="str">
        <f t="shared" si="341"/>
        <v>판타지 웹소설 &gt; 현대 판타지</v>
      </c>
    </row>
    <row r="2033" spans="1:48" x14ac:dyDescent="0.4">
      <c r="A2033">
        <v>2313003101</v>
      </c>
      <c r="B2033">
        <v>2313003193</v>
      </c>
      <c r="C2033" t="str">
        <f>T("로드 오브 머니 93화")</f>
        <v>로드 오브 머니 93화</v>
      </c>
      <c r="D2033" t="str">
        <f>T("93")</f>
        <v>93</v>
      </c>
      <c r="E2033" t="str">
        <f t="shared" si="342"/>
        <v>무장</v>
      </c>
      <c r="H2033" t="str">
        <f t="shared" si="340"/>
        <v>스토리위즈</v>
      </c>
      <c r="I2033" t="str">
        <f t="shared" si="343"/>
        <v>로드 오브 머니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200</v>
      </c>
      <c r="AL2033">
        <v>0</v>
      </c>
      <c r="AM2033">
        <v>0</v>
      </c>
      <c r="AN2033">
        <v>0</v>
      </c>
      <c r="AO2033">
        <v>0</v>
      </c>
      <c r="AP2033">
        <v>140</v>
      </c>
      <c r="AT2033" t="str">
        <f t="shared" si="344"/>
        <v>9791188630066</v>
      </c>
      <c r="AV2033" t="str">
        <f t="shared" si="341"/>
        <v>판타지 웹소설 &gt; 현대 판타지</v>
      </c>
    </row>
    <row r="2034" spans="1:48" x14ac:dyDescent="0.4">
      <c r="A2034">
        <v>2313003101</v>
      </c>
      <c r="B2034">
        <v>2313003194</v>
      </c>
      <c r="C2034" t="str">
        <f>T("로드 오브 머니 94화")</f>
        <v>로드 오브 머니 94화</v>
      </c>
      <c r="D2034" t="str">
        <f>T("94")</f>
        <v>94</v>
      </c>
      <c r="E2034" t="str">
        <f t="shared" si="342"/>
        <v>무장</v>
      </c>
      <c r="H2034" t="str">
        <f t="shared" si="340"/>
        <v>스토리위즈</v>
      </c>
      <c r="I2034" t="str">
        <f t="shared" si="343"/>
        <v>로드 오브 머니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200</v>
      </c>
      <c r="AL2034">
        <v>0</v>
      </c>
      <c r="AM2034">
        <v>0</v>
      </c>
      <c r="AN2034">
        <v>0</v>
      </c>
      <c r="AO2034">
        <v>0</v>
      </c>
      <c r="AP2034">
        <v>140</v>
      </c>
      <c r="AT2034" t="str">
        <f t="shared" si="344"/>
        <v>9791188630066</v>
      </c>
      <c r="AV2034" t="str">
        <f t="shared" si="341"/>
        <v>판타지 웹소설 &gt; 현대 판타지</v>
      </c>
    </row>
    <row r="2035" spans="1:48" x14ac:dyDescent="0.4">
      <c r="A2035">
        <v>2313003101</v>
      </c>
      <c r="B2035">
        <v>2313003195</v>
      </c>
      <c r="C2035" t="str">
        <f>T("로드 오브 머니 95화")</f>
        <v>로드 오브 머니 95화</v>
      </c>
      <c r="D2035" t="str">
        <f>T("95")</f>
        <v>95</v>
      </c>
      <c r="E2035" t="str">
        <f t="shared" si="342"/>
        <v>무장</v>
      </c>
      <c r="H2035" t="str">
        <f t="shared" si="340"/>
        <v>스토리위즈</v>
      </c>
      <c r="I2035" t="str">
        <f t="shared" si="343"/>
        <v>로드 오브 머니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200</v>
      </c>
      <c r="AL2035">
        <v>0</v>
      </c>
      <c r="AM2035">
        <v>0</v>
      </c>
      <c r="AN2035">
        <v>0</v>
      </c>
      <c r="AO2035">
        <v>0</v>
      </c>
      <c r="AP2035">
        <v>140</v>
      </c>
      <c r="AT2035" t="str">
        <f t="shared" si="344"/>
        <v>9791188630066</v>
      </c>
      <c r="AV2035" t="str">
        <f t="shared" si="341"/>
        <v>판타지 웹소설 &gt; 현대 판타지</v>
      </c>
    </row>
    <row r="2036" spans="1:48" x14ac:dyDescent="0.4">
      <c r="A2036">
        <v>2313003101</v>
      </c>
      <c r="B2036">
        <v>2313003196</v>
      </c>
      <c r="C2036" t="str">
        <f>T("로드 오브 머니 96화")</f>
        <v>로드 오브 머니 96화</v>
      </c>
      <c r="D2036" t="str">
        <f>T("96")</f>
        <v>96</v>
      </c>
      <c r="E2036" t="str">
        <f t="shared" si="342"/>
        <v>무장</v>
      </c>
      <c r="H2036" t="str">
        <f t="shared" si="340"/>
        <v>스토리위즈</v>
      </c>
      <c r="I2036" t="str">
        <f t="shared" si="343"/>
        <v>로드 오브 머니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200</v>
      </c>
      <c r="AL2036">
        <v>0</v>
      </c>
      <c r="AM2036">
        <v>0</v>
      </c>
      <c r="AN2036">
        <v>0</v>
      </c>
      <c r="AO2036">
        <v>0</v>
      </c>
      <c r="AP2036">
        <v>140</v>
      </c>
      <c r="AT2036" t="str">
        <f t="shared" si="344"/>
        <v>9791188630066</v>
      </c>
      <c r="AV2036" t="str">
        <f t="shared" si="341"/>
        <v>판타지 웹소설 &gt; 현대 판타지</v>
      </c>
    </row>
    <row r="2037" spans="1:48" x14ac:dyDescent="0.4">
      <c r="A2037">
        <v>2313003101</v>
      </c>
      <c r="B2037">
        <v>2313003339</v>
      </c>
      <c r="C2037" t="str">
        <f>T("로드 오브 머니 239화")</f>
        <v>로드 오브 머니 239화</v>
      </c>
      <c r="D2037" t="str">
        <f>T("239")</f>
        <v>239</v>
      </c>
      <c r="E2037" t="str">
        <f t="shared" si="342"/>
        <v>무장</v>
      </c>
      <c r="H2037" t="str">
        <f t="shared" si="340"/>
        <v>스토리위즈</v>
      </c>
      <c r="I2037" t="str">
        <f t="shared" si="343"/>
        <v>로드 오브 머니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200</v>
      </c>
      <c r="AL2037">
        <v>0</v>
      </c>
      <c r="AM2037">
        <v>0</v>
      </c>
      <c r="AN2037">
        <v>0</v>
      </c>
      <c r="AO2037">
        <v>0</v>
      </c>
      <c r="AP2037">
        <v>140</v>
      </c>
      <c r="AT2037" t="str">
        <f t="shared" si="344"/>
        <v>9791188630066</v>
      </c>
      <c r="AV2037" t="str">
        <f t="shared" si="341"/>
        <v>판타지 웹소설 &gt; 현대 판타지</v>
      </c>
    </row>
    <row r="2038" spans="1:48" x14ac:dyDescent="0.4">
      <c r="A2038">
        <v>2313003101</v>
      </c>
      <c r="B2038">
        <v>2313003340</v>
      </c>
      <c r="C2038" t="str">
        <f>T("로드 오브 머니 240화")</f>
        <v>로드 오브 머니 240화</v>
      </c>
      <c r="D2038" t="str">
        <f>T("240")</f>
        <v>240</v>
      </c>
      <c r="E2038" t="str">
        <f t="shared" si="342"/>
        <v>무장</v>
      </c>
      <c r="H2038" t="str">
        <f t="shared" si="340"/>
        <v>스토리위즈</v>
      </c>
      <c r="I2038" t="str">
        <f t="shared" si="343"/>
        <v>로드 오브 머니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200</v>
      </c>
      <c r="AL2038">
        <v>0</v>
      </c>
      <c r="AM2038">
        <v>0</v>
      </c>
      <c r="AN2038">
        <v>0</v>
      </c>
      <c r="AO2038">
        <v>0</v>
      </c>
      <c r="AP2038">
        <v>140</v>
      </c>
      <c r="AT2038" t="str">
        <f t="shared" si="344"/>
        <v>9791188630066</v>
      </c>
      <c r="AV2038" t="str">
        <f t="shared" si="341"/>
        <v>판타지 웹소설 &gt; 현대 판타지</v>
      </c>
    </row>
    <row r="2039" spans="1:48" x14ac:dyDescent="0.4">
      <c r="A2039">
        <v>2313003101</v>
      </c>
      <c r="B2039">
        <v>2313003351</v>
      </c>
      <c r="C2039" t="str">
        <f>T("로드 오브 머니 251화")</f>
        <v>로드 오브 머니 251화</v>
      </c>
      <c r="D2039" t="str">
        <f>T("251")</f>
        <v>251</v>
      </c>
      <c r="E2039" t="str">
        <f t="shared" si="342"/>
        <v>무장</v>
      </c>
      <c r="H2039" t="str">
        <f t="shared" si="340"/>
        <v>스토리위즈</v>
      </c>
      <c r="I2039" t="str">
        <f t="shared" si="343"/>
        <v>로드 오브 머니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200</v>
      </c>
      <c r="AL2039">
        <v>0</v>
      </c>
      <c r="AM2039">
        <v>0</v>
      </c>
      <c r="AN2039">
        <v>0</v>
      </c>
      <c r="AO2039">
        <v>0</v>
      </c>
      <c r="AP2039">
        <v>140</v>
      </c>
      <c r="AT2039" t="str">
        <f t="shared" si="344"/>
        <v>9791188630066</v>
      </c>
      <c r="AV2039" t="str">
        <f t="shared" si="341"/>
        <v>판타지 웹소설 &gt; 현대 판타지</v>
      </c>
    </row>
    <row r="2040" spans="1:48" x14ac:dyDescent="0.4">
      <c r="A2040">
        <v>2313003101</v>
      </c>
      <c r="B2040">
        <v>2313003352</v>
      </c>
      <c r="C2040" t="str">
        <f>T("로드 오브 머니 252화")</f>
        <v>로드 오브 머니 252화</v>
      </c>
      <c r="D2040" t="str">
        <f>T("252")</f>
        <v>252</v>
      </c>
      <c r="E2040" t="str">
        <f t="shared" si="342"/>
        <v>무장</v>
      </c>
      <c r="H2040" t="str">
        <f t="shared" si="340"/>
        <v>스토리위즈</v>
      </c>
      <c r="I2040" t="str">
        <f t="shared" si="343"/>
        <v>로드 오브 머니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200</v>
      </c>
      <c r="AL2040">
        <v>0</v>
      </c>
      <c r="AM2040">
        <v>0</v>
      </c>
      <c r="AN2040">
        <v>0</v>
      </c>
      <c r="AO2040">
        <v>0</v>
      </c>
      <c r="AP2040">
        <v>140</v>
      </c>
      <c r="AT2040" t="str">
        <f t="shared" si="344"/>
        <v>9791188630066</v>
      </c>
      <c r="AV2040" t="str">
        <f t="shared" si="341"/>
        <v>판타지 웹소설 &gt; 현대 판타지</v>
      </c>
    </row>
    <row r="2041" spans="1:48" x14ac:dyDescent="0.4">
      <c r="A2041">
        <v>2313003101</v>
      </c>
      <c r="B2041">
        <v>2313003353</v>
      </c>
      <c r="C2041" t="str">
        <f>T("로드 오브 머니 253화")</f>
        <v>로드 오브 머니 253화</v>
      </c>
      <c r="D2041" t="str">
        <f>T("253")</f>
        <v>253</v>
      </c>
      <c r="E2041" t="str">
        <f t="shared" si="342"/>
        <v>무장</v>
      </c>
      <c r="H2041" t="str">
        <f t="shared" si="340"/>
        <v>스토리위즈</v>
      </c>
      <c r="I2041" t="str">
        <f t="shared" si="343"/>
        <v>로드 오브 머니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200</v>
      </c>
      <c r="AL2041">
        <v>0</v>
      </c>
      <c r="AM2041">
        <v>0</v>
      </c>
      <c r="AN2041">
        <v>0</v>
      </c>
      <c r="AO2041">
        <v>0</v>
      </c>
      <c r="AP2041">
        <v>140</v>
      </c>
      <c r="AT2041" t="str">
        <f t="shared" si="344"/>
        <v>9791188630066</v>
      </c>
      <c r="AV2041" t="str">
        <f t="shared" si="341"/>
        <v>판타지 웹소설 &gt; 현대 판타지</v>
      </c>
    </row>
    <row r="2042" spans="1:48" x14ac:dyDescent="0.4">
      <c r="A2042">
        <v>2313003101</v>
      </c>
      <c r="B2042">
        <v>2313003354</v>
      </c>
      <c r="C2042" t="str">
        <f>T("로드 오브 머니 254화")</f>
        <v>로드 오브 머니 254화</v>
      </c>
      <c r="D2042" t="str">
        <f>T("254")</f>
        <v>254</v>
      </c>
      <c r="E2042" t="str">
        <f t="shared" si="342"/>
        <v>무장</v>
      </c>
      <c r="H2042" t="str">
        <f t="shared" si="340"/>
        <v>스토리위즈</v>
      </c>
      <c r="I2042" t="str">
        <f t="shared" si="343"/>
        <v>로드 오브 머니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200</v>
      </c>
      <c r="AL2042">
        <v>0</v>
      </c>
      <c r="AM2042">
        <v>0</v>
      </c>
      <c r="AN2042">
        <v>0</v>
      </c>
      <c r="AO2042">
        <v>0</v>
      </c>
      <c r="AP2042">
        <v>140</v>
      </c>
      <c r="AT2042" t="str">
        <f t="shared" si="344"/>
        <v>9791188630066</v>
      </c>
      <c r="AV2042" t="str">
        <f t="shared" si="341"/>
        <v>판타지 웹소설 &gt; 현대 판타지</v>
      </c>
    </row>
    <row r="2043" spans="1:48" x14ac:dyDescent="0.4">
      <c r="A2043">
        <v>2313003101</v>
      </c>
      <c r="B2043">
        <v>2313003355</v>
      </c>
      <c r="C2043" t="str">
        <f>T("로드 오브 머니 255화")</f>
        <v>로드 오브 머니 255화</v>
      </c>
      <c r="D2043" t="str">
        <f>T("255")</f>
        <v>255</v>
      </c>
      <c r="E2043" t="str">
        <f t="shared" si="342"/>
        <v>무장</v>
      </c>
      <c r="H2043" t="str">
        <f t="shared" si="340"/>
        <v>스토리위즈</v>
      </c>
      <c r="I2043" t="str">
        <f t="shared" si="343"/>
        <v>로드 오브 머니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0</v>
      </c>
      <c r="AP2043">
        <v>140</v>
      </c>
      <c r="AT2043" t="str">
        <f t="shared" si="344"/>
        <v>9791188630066</v>
      </c>
      <c r="AV2043" t="str">
        <f t="shared" si="341"/>
        <v>판타지 웹소설 &gt; 현대 판타지</v>
      </c>
    </row>
    <row r="2044" spans="1:48" x14ac:dyDescent="0.4">
      <c r="A2044">
        <v>2313003101</v>
      </c>
      <c r="B2044">
        <v>2313003356</v>
      </c>
      <c r="C2044" t="str">
        <f>T("로드 오브 머니 256화")</f>
        <v>로드 오브 머니 256화</v>
      </c>
      <c r="D2044" t="str">
        <f>T("256")</f>
        <v>256</v>
      </c>
      <c r="E2044" t="str">
        <f t="shared" si="342"/>
        <v>무장</v>
      </c>
      <c r="H2044" t="str">
        <f t="shared" si="340"/>
        <v>스토리위즈</v>
      </c>
      <c r="I2044" t="str">
        <f t="shared" si="343"/>
        <v>로드 오브 머니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200</v>
      </c>
      <c r="AL2044">
        <v>0</v>
      </c>
      <c r="AM2044">
        <v>0</v>
      </c>
      <c r="AN2044">
        <v>0</v>
      </c>
      <c r="AO2044">
        <v>0</v>
      </c>
      <c r="AP2044">
        <v>140</v>
      </c>
      <c r="AT2044" t="str">
        <f t="shared" si="344"/>
        <v>9791188630066</v>
      </c>
      <c r="AV2044" t="str">
        <f t="shared" si="341"/>
        <v>판타지 웹소설 &gt; 현대 판타지</v>
      </c>
    </row>
    <row r="2045" spans="1:48" x14ac:dyDescent="0.4">
      <c r="A2045">
        <v>2313003101</v>
      </c>
      <c r="B2045">
        <v>2313003357</v>
      </c>
      <c r="C2045" t="str">
        <f>T("로드 오브 머니 257화")</f>
        <v>로드 오브 머니 257화</v>
      </c>
      <c r="D2045" t="str">
        <f>T("257")</f>
        <v>257</v>
      </c>
      <c r="E2045" t="str">
        <f t="shared" si="342"/>
        <v>무장</v>
      </c>
      <c r="H2045" t="str">
        <f t="shared" si="340"/>
        <v>스토리위즈</v>
      </c>
      <c r="I2045" t="str">
        <f t="shared" si="343"/>
        <v>로드 오브 머니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200</v>
      </c>
      <c r="AL2045">
        <v>0</v>
      </c>
      <c r="AM2045">
        <v>0</v>
      </c>
      <c r="AN2045">
        <v>0</v>
      </c>
      <c r="AO2045">
        <v>0</v>
      </c>
      <c r="AP2045">
        <v>140</v>
      </c>
      <c r="AT2045" t="str">
        <f t="shared" si="344"/>
        <v>9791188630066</v>
      </c>
      <c r="AV2045" t="str">
        <f t="shared" si="341"/>
        <v>판타지 웹소설 &gt; 현대 판타지</v>
      </c>
    </row>
    <row r="2046" spans="1:48" x14ac:dyDescent="0.4">
      <c r="A2046">
        <v>2313003101</v>
      </c>
      <c r="B2046">
        <v>2313003358</v>
      </c>
      <c r="C2046" t="str">
        <f>T("로드 오브 머니 258화")</f>
        <v>로드 오브 머니 258화</v>
      </c>
      <c r="D2046" t="str">
        <f>T("258")</f>
        <v>258</v>
      </c>
      <c r="E2046" t="str">
        <f t="shared" si="342"/>
        <v>무장</v>
      </c>
      <c r="H2046" t="str">
        <f t="shared" si="340"/>
        <v>스토리위즈</v>
      </c>
      <c r="I2046" t="str">
        <f t="shared" si="343"/>
        <v>로드 오브 머니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200</v>
      </c>
      <c r="AL2046">
        <v>0</v>
      </c>
      <c r="AM2046">
        <v>0</v>
      </c>
      <c r="AN2046">
        <v>0</v>
      </c>
      <c r="AO2046">
        <v>0</v>
      </c>
      <c r="AP2046">
        <v>140</v>
      </c>
      <c r="AT2046" t="str">
        <f t="shared" si="344"/>
        <v>9791188630066</v>
      </c>
      <c r="AV2046" t="str">
        <f t="shared" si="341"/>
        <v>판타지 웹소설 &gt; 현대 판타지</v>
      </c>
    </row>
    <row r="2047" spans="1:48" x14ac:dyDescent="0.4">
      <c r="A2047">
        <v>2313003101</v>
      </c>
      <c r="B2047">
        <v>2313003359</v>
      </c>
      <c r="C2047" t="str">
        <f>T("로드 오브 머니 259화")</f>
        <v>로드 오브 머니 259화</v>
      </c>
      <c r="D2047" t="str">
        <f>T("259")</f>
        <v>259</v>
      </c>
      <c r="E2047" t="str">
        <f t="shared" si="342"/>
        <v>무장</v>
      </c>
      <c r="H2047" t="str">
        <f t="shared" si="340"/>
        <v>스토리위즈</v>
      </c>
      <c r="I2047" t="str">
        <f t="shared" si="343"/>
        <v>로드 오브 머니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200</v>
      </c>
      <c r="AL2047">
        <v>0</v>
      </c>
      <c r="AM2047">
        <v>0</v>
      </c>
      <c r="AN2047">
        <v>0</v>
      </c>
      <c r="AO2047">
        <v>0</v>
      </c>
      <c r="AP2047">
        <v>140</v>
      </c>
      <c r="AT2047" t="str">
        <f t="shared" si="344"/>
        <v>9791188630066</v>
      </c>
      <c r="AV2047" t="str">
        <f t="shared" si="341"/>
        <v>판타지 웹소설 &gt; 현대 판타지</v>
      </c>
    </row>
    <row r="2048" spans="1:48" x14ac:dyDescent="0.4">
      <c r="A2048">
        <v>2313003101</v>
      </c>
      <c r="B2048">
        <v>2313003368</v>
      </c>
      <c r="C2048" t="str">
        <f>T("로드 오브 머니 268화")</f>
        <v>로드 오브 머니 268화</v>
      </c>
      <c r="D2048" t="str">
        <f>T("268")</f>
        <v>268</v>
      </c>
      <c r="E2048" t="str">
        <f t="shared" si="342"/>
        <v>무장</v>
      </c>
      <c r="H2048" t="str">
        <f t="shared" si="340"/>
        <v>스토리위즈</v>
      </c>
      <c r="I2048" t="str">
        <f t="shared" si="343"/>
        <v>로드 오브 머니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200</v>
      </c>
      <c r="AL2048">
        <v>0</v>
      </c>
      <c r="AM2048">
        <v>0</v>
      </c>
      <c r="AN2048">
        <v>0</v>
      </c>
      <c r="AO2048">
        <v>0</v>
      </c>
      <c r="AP2048">
        <v>140</v>
      </c>
      <c r="AT2048" t="str">
        <f t="shared" si="344"/>
        <v>9791188630066</v>
      </c>
      <c r="AV2048" t="str">
        <f t="shared" si="341"/>
        <v>판타지 웹소설 &gt; 현대 판타지</v>
      </c>
    </row>
    <row r="2049" spans="1:48" x14ac:dyDescent="0.4">
      <c r="A2049">
        <v>2313003101</v>
      </c>
      <c r="B2049">
        <v>2313003369</v>
      </c>
      <c r="C2049" t="str">
        <f>T("로드 오브 머니 269화")</f>
        <v>로드 오브 머니 269화</v>
      </c>
      <c r="D2049" t="str">
        <f>T("269")</f>
        <v>269</v>
      </c>
      <c r="E2049" t="str">
        <f t="shared" si="342"/>
        <v>무장</v>
      </c>
      <c r="H2049" t="str">
        <f t="shared" si="340"/>
        <v>스토리위즈</v>
      </c>
      <c r="I2049" t="str">
        <f t="shared" si="343"/>
        <v>로드 오브 머니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200</v>
      </c>
      <c r="AL2049">
        <v>0</v>
      </c>
      <c r="AM2049">
        <v>0</v>
      </c>
      <c r="AN2049">
        <v>0</v>
      </c>
      <c r="AO2049">
        <v>0</v>
      </c>
      <c r="AP2049">
        <v>140</v>
      </c>
      <c r="AT2049" t="str">
        <f t="shared" si="344"/>
        <v>9791188630066</v>
      </c>
      <c r="AV2049" t="str">
        <f t="shared" si="341"/>
        <v>판타지 웹소설 &gt; 현대 판타지</v>
      </c>
    </row>
    <row r="2050" spans="1:48" x14ac:dyDescent="0.4">
      <c r="A2050">
        <v>2313003101</v>
      </c>
      <c r="B2050">
        <v>2313003370</v>
      </c>
      <c r="C2050" t="str">
        <f>T("로드 오브 머니 270화")</f>
        <v>로드 오브 머니 270화</v>
      </c>
      <c r="D2050" t="str">
        <f>T("270")</f>
        <v>270</v>
      </c>
      <c r="E2050" t="str">
        <f t="shared" si="342"/>
        <v>무장</v>
      </c>
      <c r="H2050" t="str">
        <f t="shared" si="340"/>
        <v>스토리위즈</v>
      </c>
      <c r="I2050" t="str">
        <f t="shared" si="343"/>
        <v>로드 오브 머니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200</v>
      </c>
      <c r="AL2050">
        <v>0</v>
      </c>
      <c r="AM2050">
        <v>0</v>
      </c>
      <c r="AN2050">
        <v>0</v>
      </c>
      <c r="AO2050">
        <v>0</v>
      </c>
      <c r="AP2050">
        <v>140</v>
      </c>
      <c r="AT2050" t="str">
        <f t="shared" si="344"/>
        <v>9791188630066</v>
      </c>
      <c r="AV2050" t="str">
        <f t="shared" si="341"/>
        <v>판타지 웹소설 &gt; 현대 판타지</v>
      </c>
    </row>
    <row r="2051" spans="1:48" x14ac:dyDescent="0.4">
      <c r="A2051">
        <v>2313003101</v>
      </c>
      <c r="B2051">
        <v>2313003371</v>
      </c>
      <c r="C2051" t="str">
        <f>T("로드 오브 머니 271화")</f>
        <v>로드 오브 머니 271화</v>
      </c>
      <c r="D2051" t="str">
        <f>T("271")</f>
        <v>271</v>
      </c>
      <c r="E2051" t="str">
        <f t="shared" si="342"/>
        <v>무장</v>
      </c>
      <c r="H2051" t="str">
        <f t="shared" si="340"/>
        <v>스토리위즈</v>
      </c>
      <c r="I2051" t="str">
        <f t="shared" si="343"/>
        <v>로드 오브 머니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200</v>
      </c>
      <c r="AL2051">
        <v>0</v>
      </c>
      <c r="AM2051">
        <v>0</v>
      </c>
      <c r="AN2051">
        <v>0</v>
      </c>
      <c r="AO2051">
        <v>0</v>
      </c>
      <c r="AP2051">
        <v>140</v>
      </c>
      <c r="AT2051" t="str">
        <f t="shared" si="344"/>
        <v>9791188630066</v>
      </c>
      <c r="AV2051" t="str">
        <f t="shared" si="341"/>
        <v>판타지 웹소설 &gt; 현대 판타지</v>
      </c>
    </row>
    <row r="2052" spans="1:48" x14ac:dyDescent="0.4">
      <c r="A2052">
        <v>2313003101</v>
      </c>
      <c r="B2052">
        <v>2313003372</v>
      </c>
      <c r="C2052" t="str">
        <f>T("로드 오브 머니 272화")</f>
        <v>로드 오브 머니 272화</v>
      </c>
      <c r="D2052" t="str">
        <f>T("272")</f>
        <v>272</v>
      </c>
      <c r="E2052" t="str">
        <f t="shared" si="342"/>
        <v>무장</v>
      </c>
      <c r="H2052" t="str">
        <f t="shared" si="340"/>
        <v>스토리위즈</v>
      </c>
      <c r="I2052" t="str">
        <f t="shared" si="343"/>
        <v>로드 오브 머니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200</v>
      </c>
      <c r="AL2052">
        <v>0</v>
      </c>
      <c r="AM2052">
        <v>0</v>
      </c>
      <c r="AN2052">
        <v>0</v>
      </c>
      <c r="AO2052">
        <v>0</v>
      </c>
      <c r="AP2052">
        <v>140</v>
      </c>
      <c r="AT2052" t="str">
        <f t="shared" si="344"/>
        <v>9791188630066</v>
      </c>
      <c r="AV2052" t="str">
        <f t="shared" si="341"/>
        <v>판타지 웹소설 &gt; 현대 판타지</v>
      </c>
    </row>
    <row r="2053" spans="1:48" x14ac:dyDescent="0.4">
      <c r="A2053">
        <v>2313003101</v>
      </c>
      <c r="B2053">
        <v>2313003373</v>
      </c>
      <c r="C2053" t="str">
        <f>T("로드 오브 머니 273화")</f>
        <v>로드 오브 머니 273화</v>
      </c>
      <c r="D2053" t="str">
        <f>T("273")</f>
        <v>273</v>
      </c>
      <c r="E2053" t="str">
        <f t="shared" si="342"/>
        <v>무장</v>
      </c>
      <c r="H2053" t="str">
        <f t="shared" si="340"/>
        <v>스토리위즈</v>
      </c>
      <c r="I2053" t="str">
        <f t="shared" si="343"/>
        <v>로드 오브 머니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200</v>
      </c>
      <c r="AL2053">
        <v>0</v>
      </c>
      <c r="AM2053">
        <v>0</v>
      </c>
      <c r="AN2053">
        <v>0</v>
      </c>
      <c r="AO2053">
        <v>0</v>
      </c>
      <c r="AP2053">
        <v>140</v>
      </c>
      <c r="AT2053" t="str">
        <f t="shared" si="344"/>
        <v>9791188630066</v>
      </c>
      <c r="AV2053" t="str">
        <f t="shared" si="341"/>
        <v>판타지 웹소설 &gt; 현대 판타지</v>
      </c>
    </row>
    <row r="2054" spans="1:48" x14ac:dyDescent="0.4">
      <c r="A2054">
        <v>2313003101</v>
      </c>
      <c r="B2054">
        <v>2313003385</v>
      </c>
      <c r="C2054" t="str">
        <f>T("로드 오브 머니 285화")</f>
        <v>로드 오브 머니 285화</v>
      </c>
      <c r="D2054" t="str">
        <f>T("285")</f>
        <v>285</v>
      </c>
      <c r="E2054" t="str">
        <f t="shared" si="342"/>
        <v>무장</v>
      </c>
      <c r="H2054" t="str">
        <f t="shared" si="340"/>
        <v>스토리위즈</v>
      </c>
      <c r="I2054" t="str">
        <f t="shared" si="343"/>
        <v>로드 오브 머니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200</v>
      </c>
      <c r="AL2054">
        <v>0</v>
      </c>
      <c r="AM2054">
        <v>0</v>
      </c>
      <c r="AN2054">
        <v>0</v>
      </c>
      <c r="AO2054">
        <v>0</v>
      </c>
      <c r="AP2054">
        <v>140</v>
      </c>
      <c r="AT2054" t="str">
        <f t="shared" si="344"/>
        <v>9791188630066</v>
      </c>
      <c r="AV2054" t="str">
        <f t="shared" si="341"/>
        <v>판타지 웹소설 &gt; 현대 판타지</v>
      </c>
    </row>
    <row r="2055" spans="1:48" x14ac:dyDescent="0.4">
      <c r="A2055">
        <v>2313003101</v>
      </c>
      <c r="B2055">
        <v>2313003386</v>
      </c>
      <c r="C2055" t="str">
        <f>T("로드 오브 머니 286화")</f>
        <v>로드 오브 머니 286화</v>
      </c>
      <c r="D2055" t="str">
        <f>T("286")</f>
        <v>286</v>
      </c>
      <c r="E2055" t="str">
        <f t="shared" si="342"/>
        <v>무장</v>
      </c>
      <c r="H2055" t="str">
        <f t="shared" si="340"/>
        <v>스토리위즈</v>
      </c>
      <c r="I2055" t="str">
        <f t="shared" si="343"/>
        <v>로드 오브 머니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>
        <v>140</v>
      </c>
      <c r="AT2055" t="str">
        <f t="shared" si="344"/>
        <v>9791188630066</v>
      </c>
      <c r="AV2055" t="str">
        <f t="shared" si="341"/>
        <v>판타지 웹소설 &gt; 현대 판타지</v>
      </c>
    </row>
    <row r="2056" spans="1:48" x14ac:dyDescent="0.4">
      <c r="A2056">
        <v>2313003101</v>
      </c>
      <c r="B2056">
        <v>2313003387</v>
      </c>
      <c r="C2056" t="str">
        <f>T("로드 오브 머니 287화")</f>
        <v>로드 오브 머니 287화</v>
      </c>
      <c r="D2056" t="str">
        <f>T("287")</f>
        <v>287</v>
      </c>
      <c r="E2056" t="str">
        <f t="shared" si="342"/>
        <v>무장</v>
      </c>
      <c r="H2056" t="str">
        <f t="shared" si="340"/>
        <v>스토리위즈</v>
      </c>
      <c r="I2056" t="str">
        <f t="shared" si="343"/>
        <v>로드 오브 머니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200</v>
      </c>
      <c r="AL2056">
        <v>0</v>
      </c>
      <c r="AM2056">
        <v>0</v>
      </c>
      <c r="AN2056">
        <v>0</v>
      </c>
      <c r="AO2056">
        <v>0</v>
      </c>
      <c r="AP2056">
        <v>140</v>
      </c>
      <c r="AT2056" t="str">
        <f t="shared" si="344"/>
        <v>9791188630066</v>
      </c>
      <c r="AV2056" t="str">
        <f t="shared" si="341"/>
        <v>판타지 웹소설 &gt; 현대 판타지</v>
      </c>
    </row>
    <row r="2057" spans="1:48" x14ac:dyDescent="0.4">
      <c r="A2057">
        <v>2313003101</v>
      </c>
      <c r="B2057">
        <v>2313003388</v>
      </c>
      <c r="C2057" t="str">
        <f>T("로드 오브 머니 288화")</f>
        <v>로드 오브 머니 288화</v>
      </c>
      <c r="D2057" t="str">
        <f>T("288")</f>
        <v>288</v>
      </c>
      <c r="E2057" t="str">
        <f t="shared" si="342"/>
        <v>무장</v>
      </c>
      <c r="H2057" t="str">
        <f t="shared" si="340"/>
        <v>스토리위즈</v>
      </c>
      <c r="I2057" t="str">
        <f t="shared" si="343"/>
        <v>로드 오브 머니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>
        <v>140</v>
      </c>
      <c r="AT2057" t="str">
        <f t="shared" si="344"/>
        <v>9791188630066</v>
      </c>
      <c r="AV2057" t="str">
        <f t="shared" si="341"/>
        <v>판타지 웹소설 &gt; 현대 판타지</v>
      </c>
    </row>
    <row r="2058" spans="1:48" x14ac:dyDescent="0.4">
      <c r="A2058">
        <v>2313003101</v>
      </c>
      <c r="B2058">
        <v>2313003389</v>
      </c>
      <c r="C2058" t="str">
        <f>T("로드 오브 머니 289화")</f>
        <v>로드 오브 머니 289화</v>
      </c>
      <c r="D2058" t="str">
        <f>T("289")</f>
        <v>289</v>
      </c>
      <c r="E2058" t="str">
        <f t="shared" si="342"/>
        <v>무장</v>
      </c>
      <c r="H2058" t="str">
        <f t="shared" si="340"/>
        <v>스토리위즈</v>
      </c>
      <c r="I2058" t="str">
        <f t="shared" si="343"/>
        <v>로드 오브 머니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>
        <v>140</v>
      </c>
      <c r="AT2058" t="str">
        <f t="shared" si="344"/>
        <v>9791188630066</v>
      </c>
      <c r="AV2058" t="str">
        <f t="shared" si="341"/>
        <v>판타지 웹소설 &gt; 현대 판타지</v>
      </c>
    </row>
    <row r="2059" spans="1:48" x14ac:dyDescent="0.4">
      <c r="A2059">
        <v>2313003101</v>
      </c>
      <c r="B2059">
        <v>2313003390</v>
      </c>
      <c r="C2059" t="str">
        <f>T("로드 오브 머니 290화")</f>
        <v>로드 오브 머니 290화</v>
      </c>
      <c r="D2059" t="str">
        <f>T("290")</f>
        <v>290</v>
      </c>
      <c r="E2059" t="str">
        <f t="shared" si="342"/>
        <v>무장</v>
      </c>
      <c r="H2059" t="str">
        <f t="shared" si="340"/>
        <v>스토리위즈</v>
      </c>
      <c r="I2059" t="str">
        <f t="shared" si="343"/>
        <v>로드 오브 머니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>
        <v>140</v>
      </c>
      <c r="AT2059" t="str">
        <f t="shared" si="344"/>
        <v>9791188630066</v>
      </c>
      <c r="AV2059" t="str">
        <f t="shared" si="341"/>
        <v>판타지 웹소설 &gt; 현대 판타지</v>
      </c>
    </row>
    <row r="2060" spans="1:48" x14ac:dyDescent="0.4">
      <c r="A2060">
        <v>2313003101</v>
      </c>
      <c r="B2060">
        <v>2313003391</v>
      </c>
      <c r="C2060" t="str">
        <f>T("로드 오브 머니 291화")</f>
        <v>로드 오브 머니 291화</v>
      </c>
      <c r="D2060" t="str">
        <f>T("291")</f>
        <v>291</v>
      </c>
      <c r="E2060" t="str">
        <f t="shared" si="342"/>
        <v>무장</v>
      </c>
      <c r="H2060" t="str">
        <f t="shared" si="340"/>
        <v>스토리위즈</v>
      </c>
      <c r="I2060" t="str">
        <f t="shared" si="343"/>
        <v>로드 오브 머니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>
        <v>140</v>
      </c>
      <c r="AT2060" t="str">
        <f t="shared" si="344"/>
        <v>9791188630066</v>
      </c>
      <c r="AV2060" t="str">
        <f t="shared" si="341"/>
        <v>판타지 웹소설 &gt; 현대 판타지</v>
      </c>
    </row>
    <row r="2061" spans="1:48" x14ac:dyDescent="0.4">
      <c r="A2061">
        <v>2313003101</v>
      </c>
      <c r="B2061">
        <v>2313003392</v>
      </c>
      <c r="C2061" t="str">
        <f>T("로드 오브 머니 292화")</f>
        <v>로드 오브 머니 292화</v>
      </c>
      <c r="D2061" t="str">
        <f>T("292")</f>
        <v>292</v>
      </c>
      <c r="E2061" t="str">
        <f t="shared" si="342"/>
        <v>무장</v>
      </c>
      <c r="H2061" t="str">
        <f t="shared" si="340"/>
        <v>스토리위즈</v>
      </c>
      <c r="I2061" t="str">
        <f t="shared" si="343"/>
        <v>로드 오브 머니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>
        <v>140</v>
      </c>
      <c r="AT2061" t="str">
        <f t="shared" si="344"/>
        <v>9791188630066</v>
      </c>
      <c r="AV2061" t="str">
        <f t="shared" si="341"/>
        <v>판타지 웹소설 &gt; 현대 판타지</v>
      </c>
    </row>
    <row r="2062" spans="1:48" x14ac:dyDescent="0.4">
      <c r="A2062">
        <v>2313003101</v>
      </c>
      <c r="B2062">
        <v>2313003393</v>
      </c>
      <c r="C2062" t="str">
        <f>T("로드 오브 머니 293화")</f>
        <v>로드 오브 머니 293화</v>
      </c>
      <c r="D2062" t="str">
        <f>T("293")</f>
        <v>293</v>
      </c>
      <c r="E2062" t="str">
        <f t="shared" si="342"/>
        <v>무장</v>
      </c>
      <c r="H2062" t="str">
        <f t="shared" si="340"/>
        <v>스토리위즈</v>
      </c>
      <c r="I2062" t="str">
        <f t="shared" si="343"/>
        <v>로드 오브 머니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>
        <v>140</v>
      </c>
      <c r="AT2062" t="str">
        <f t="shared" si="344"/>
        <v>9791188630066</v>
      </c>
      <c r="AV2062" t="str">
        <f t="shared" si="341"/>
        <v>판타지 웹소설 &gt; 현대 판타지</v>
      </c>
    </row>
    <row r="2063" spans="1:48" x14ac:dyDescent="0.4">
      <c r="A2063">
        <v>2313003101</v>
      </c>
      <c r="B2063">
        <v>2313003394</v>
      </c>
      <c r="C2063" t="str">
        <f>T("로드 오브 머니 294화")</f>
        <v>로드 오브 머니 294화</v>
      </c>
      <c r="D2063" t="str">
        <f>T("294")</f>
        <v>294</v>
      </c>
      <c r="E2063" t="str">
        <f t="shared" si="342"/>
        <v>무장</v>
      </c>
      <c r="H2063" t="str">
        <f t="shared" si="340"/>
        <v>스토리위즈</v>
      </c>
      <c r="I2063" t="str">
        <f t="shared" si="343"/>
        <v>로드 오브 머니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>
        <v>140</v>
      </c>
      <c r="AT2063" t="str">
        <f t="shared" si="344"/>
        <v>9791188630066</v>
      </c>
      <c r="AV2063" t="str">
        <f t="shared" si="341"/>
        <v>판타지 웹소설 &gt; 현대 판타지</v>
      </c>
    </row>
    <row r="2064" spans="1:48" x14ac:dyDescent="0.4">
      <c r="A2064">
        <v>2313003101</v>
      </c>
      <c r="B2064">
        <v>2313003395</v>
      </c>
      <c r="C2064" t="str">
        <f>T("로드 오브 머니 295화")</f>
        <v>로드 오브 머니 295화</v>
      </c>
      <c r="D2064" t="str">
        <f>T("295")</f>
        <v>295</v>
      </c>
      <c r="E2064" t="str">
        <f t="shared" si="342"/>
        <v>무장</v>
      </c>
      <c r="H2064" t="str">
        <f t="shared" si="340"/>
        <v>스토리위즈</v>
      </c>
      <c r="I2064" t="str">
        <f t="shared" si="343"/>
        <v>로드 오브 머니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>
        <v>140</v>
      </c>
      <c r="AT2064" t="str">
        <f t="shared" si="344"/>
        <v>9791188630066</v>
      </c>
      <c r="AV2064" t="str">
        <f t="shared" si="341"/>
        <v>판타지 웹소설 &gt; 현대 판타지</v>
      </c>
    </row>
    <row r="2065" spans="1:48" x14ac:dyDescent="0.4">
      <c r="A2065">
        <v>2313003101</v>
      </c>
      <c r="B2065">
        <v>2313003396</v>
      </c>
      <c r="C2065" t="str">
        <f>T("로드 오브 머니 296화")</f>
        <v>로드 오브 머니 296화</v>
      </c>
      <c r="D2065" t="str">
        <f>T("296")</f>
        <v>296</v>
      </c>
      <c r="E2065" t="str">
        <f t="shared" si="342"/>
        <v>무장</v>
      </c>
      <c r="H2065" t="str">
        <f t="shared" si="340"/>
        <v>스토리위즈</v>
      </c>
      <c r="I2065" t="str">
        <f t="shared" si="343"/>
        <v>로드 오브 머니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>
        <v>140</v>
      </c>
      <c r="AT2065" t="str">
        <f t="shared" si="344"/>
        <v>9791188630066</v>
      </c>
      <c r="AV2065" t="str">
        <f t="shared" si="341"/>
        <v>판타지 웹소설 &gt; 현대 판타지</v>
      </c>
    </row>
    <row r="2066" spans="1:48" x14ac:dyDescent="0.4">
      <c r="A2066">
        <v>2313003101</v>
      </c>
      <c r="B2066">
        <v>2313003397</v>
      </c>
      <c r="C2066" t="str">
        <f>T("로드 오브 머니 297화")</f>
        <v>로드 오브 머니 297화</v>
      </c>
      <c r="D2066" t="str">
        <f>T("297")</f>
        <v>297</v>
      </c>
      <c r="E2066" t="str">
        <f t="shared" si="342"/>
        <v>무장</v>
      </c>
      <c r="H2066" t="str">
        <f t="shared" si="340"/>
        <v>스토리위즈</v>
      </c>
      <c r="I2066" t="str">
        <f t="shared" si="343"/>
        <v>로드 오브 머니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>
        <v>140</v>
      </c>
      <c r="AT2066" t="str">
        <f t="shared" si="344"/>
        <v>9791188630066</v>
      </c>
      <c r="AV2066" t="str">
        <f t="shared" si="341"/>
        <v>판타지 웹소설 &gt; 현대 판타지</v>
      </c>
    </row>
    <row r="2067" spans="1:48" x14ac:dyDescent="0.4">
      <c r="A2067">
        <v>2313003101</v>
      </c>
      <c r="B2067">
        <v>2313003398</v>
      </c>
      <c r="C2067" t="str">
        <f>T("로드 오브 머니 298화")</f>
        <v>로드 오브 머니 298화</v>
      </c>
      <c r="D2067" t="str">
        <f>T("298")</f>
        <v>298</v>
      </c>
      <c r="E2067" t="str">
        <f t="shared" si="342"/>
        <v>무장</v>
      </c>
      <c r="H2067" t="str">
        <f t="shared" si="340"/>
        <v>스토리위즈</v>
      </c>
      <c r="I2067" t="str">
        <f t="shared" si="343"/>
        <v>로드 오브 머니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>
        <v>140</v>
      </c>
      <c r="AT2067" t="str">
        <f t="shared" si="344"/>
        <v>9791188630066</v>
      </c>
      <c r="AV2067" t="str">
        <f t="shared" si="341"/>
        <v>판타지 웹소설 &gt; 현대 판타지</v>
      </c>
    </row>
    <row r="2068" spans="1:48" x14ac:dyDescent="0.4">
      <c r="A2068">
        <v>2313003101</v>
      </c>
      <c r="B2068">
        <v>2313003399</v>
      </c>
      <c r="C2068" t="str">
        <f>T("로드 오브 머니 299화")</f>
        <v>로드 오브 머니 299화</v>
      </c>
      <c r="D2068" t="str">
        <f>T("299")</f>
        <v>299</v>
      </c>
      <c r="E2068" t="str">
        <f t="shared" si="342"/>
        <v>무장</v>
      </c>
      <c r="H2068" t="str">
        <f t="shared" si="340"/>
        <v>스토리위즈</v>
      </c>
      <c r="I2068" t="str">
        <f t="shared" si="343"/>
        <v>로드 오브 머니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>
        <v>140</v>
      </c>
      <c r="AT2068" t="str">
        <f t="shared" si="344"/>
        <v>9791188630066</v>
      </c>
      <c r="AV2068" t="str">
        <f t="shared" si="341"/>
        <v>판타지 웹소설 &gt; 현대 판타지</v>
      </c>
    </row>
    <row r="2069" spans="1:48" x14ac:dyDescent="0.4">
      <c r="A2069">
        <v>2313003101</v>
      </c>
      <c r="B2069">
        <v>2313003400</v>
      </c>
      <c r="C2069" t="str">
        <f>T("로드 오브 머니 300화")</f>
        <v>로드 오브 머니 300화</v>
      </c>
      <c r="D2069" t="str">
        <f>T("300")</f>
        <v>300</v>
      </c>
      <c r="E2069" t="str">
        <f t="shared" si="342"/>
        <v>무장</v>
      </c>
      <c r="H2069" t="str">
        <f t="shared" si="340"/>
        <v>스토리위즈</v>
      </c>
      <c r="I2069" t="str">
        <f t="shared" si="343"/>
        <v>로드 오브 머니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>
        <v>140</v>
      </c>
      <c r="AT2069" t="str">
        <f t="shared" si="344"/>
        <v>9791188630066</v>
      </c>
      <c r="AV2069" t="str">
        <f t="shared" si="341"/>
        <v>판타지 웹소설 &gt; 현대 판타지</v>
      </c>
    </row>
    <row r="2070" spans="1:48" x14ac:dyDescent="0.4">
      <c r="A2070">
        <v>2313003101</v>
      </c>
      <c r="B2070">
        <v>2313003401</v>
      </c>
      <c r="C2070" t="str">
        <f>T("로드 오브 머니 301화")</f>
        <v>로드 오브 머니 301화</v>
      </c>
      <c r="D2070" t="str">
        <f>T("301")</f>
        <v>301</v>
      </c>
      <c r="E2070" t="str">
        <f t="shared" si="342"/>
        <v>무장</v>
      </c>
      <c r="H2070" t="str">
        <f t="shared" si="340"/>
        <v>스토리위즈</v>
      </c>
      <c r="I2070" t="str">
        <f t="shared" si="343"/>
        <v>로드 오브 머니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>
        <v>140</v>
      </c>
      <c r="AT2070" t="str">
        <f t="shared" si="344"/>
        <v>9791188630066</v>
      </c>
      <c r="AV2070" t="str">
        <f t="shared" si="341"/>
        <v>판타지 웹소설 &gt; 현대 판타지</v>
      </c>
    </row>
    <row r="2071" spans="1:48" x14ac:dyDescent="0.4">
      <c r="A2071">
        <v>2313003101</v>
      </c>
      <c r="B2071">
        <v>2313003402</v>
      </c>
      <c r="C2071" t="str">
        <f>T("로드 오브 머니 302화")</f>
        <v>로드 오브 머니 302화</v>
      </c>
      <c r="D2071" t="str">
        <f>T("302")</f>
        <v>302</v>
      </c>
      <c r="E2071" t="str">
        <f t="shared" si="342"/>
        <v>무장</v>
      </c>
      <c r="H2071" t="str">
        <f t="shared" si="340"/>
        <v>스토리위즈</v>
      </c>
      <c r="I2071" t="str">
        <f t="shared" si="343"/>
        <v>로드 오브 머니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>
        <v>140</v>
      </c>
      <c r="AT2071" t="str">
        <f t="shared" si="344"/>
        <v>9791188630066</v>
      </c>
      <c r="AV2071" t="str">
        <f t="shared" si="341"/>
        <v>판타지 웹소설 &gt; 현대 판타지</v>
      </c>
    </row>
    <row r="2072" spans="1:48" x14ac:dyDescent="0.4">
      <c r="A2072">
        <v>2313003101</v>
      </c>
      <c r="B2072">
        <v>2313003403</v>
      </c>
      <c r="C2072" t="str">
        <f>T("로드 오브 머니 303화")</f>
        <v>로드 오브 머니 303화</v>
      </c>
      <c r="D2072" t="str">
        <f>T("303")</f>
        <v>303</v>
      </c>
      <c r="E2072" t="str">
        <f t="shared" si="342"/>
        <v>무장</v>
      </c>
      <c r="H2072" t="str">
        <f t="shared" si="340"/>
        <v>스토리위즈</v>
      </c>
      <c r="I2072" t="str">
        <f t="shared" si="343"/>
        <v>로드 오브 머니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>
        <v>140</v>
      </c>
      <c r="AT2072" t="str">
        <f t="shared" si="344"/>
        <v>9791188630066</v>
      </c>
      <c r="AV2072" t="str">
        <f t="shared" si="341"/>
        <v>판타지 웹소설 &gt; 현대 판타지</v>
      </c>
    </row>
    <row r="2073" spans="1:48" x14ac:dyDescent="0.4">
      <c r="A2073">
        <v>2313008150</v>
      </c>
      <c r="B2073">
        <v>2313008212</v>
      </c>
      <c r="C2073" t="str">
        <f>T("기사가문 망나니는 10클래스 63화")</f>
        <v>기사가문 망나니는 10클래스 63화</v>
      </c>
      <c r="D2073" t="str">
        <f>T("63")</f>
        <v>63</v>
      </c>
      <c r="E2073" t="str">
        <f t="shared" ref="E2073:E2107" si="345">T("예로나")</f>
        <v>예로나</v>
      </c>
      <c r="H2073" t="str">
        <f t="shared" si="340"/>
        <v>스토리위즈</v>
      </c>
      <c r="I2073" t="str">
        <f t="shared" ref="I2073:I2107" si="346">T("기사가문 망나니는 10클래스")</f>
        <v>기사가문 망나니는 10클래스</v>
      </c>
      <c r="J2073">
        <v>100</v>
      </c>
      <c r="K2073">
        <v>200</v>
      </c>
      <c r="L2073">
        <v>2</v>
      </c>
      <c r="M2073">
        <v>0</v>
      </c>
      <c r="N2073">
        <v>100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300</v>
      </c>
      <c r="AH2073">
        <v>3</v>
      </c>
      <c r="AI2073">
        <v>0</v>
      </c>
      <c r="AJ2073">
        <v>0</v>
      </c>
      <c r="AK2073">
        <v>300</v>
      </c>
      <c r="AL2073">
        <v>0</v>
      </c>
      <c r="AM2073">
        <v>0</v>
      </c>
      <c r="AN2073">
        <v>0</v>
      </c>
      <c r="AO2073">
        <v>0</v>
      </c>
      <c r="AP2073">
        <v>210</v>
      </c>
      <c r="AT2073" t="str">
        <f t="shared" ref="AT2073:AT2107" si="347">T("9791165310370")</f>
        <v>9791165310370</v>
      </c>
      <c r="AV2073" t="str">
        <f t="shared" ref="AV2073:AV2107" si="348">T("판타지 웹소설 &gt; 퓨전 판타지")</f>
        <v>판타지 웹소설 &gt; 퓨전 판타지</v>
      </c>
    </row>
    <row r="2074" spans="1:48" x14ac:dyDescent="0.4">
      <c r="A2074">
        <v>2313008150</v>
      </c>
      <c r="B2074">
        <v>2313008213</v>
      </c>
      <c r="C2074" t="str">
        <f>T("기사가문 망나니는 10클래스 64화")</f>
        <v>기사가문 망나니는 10클래스 64화</v>
      </c>
      <c r="D2074" t="str">
        <f>T("64")</f>
        <v>64</v>
      </c>
      <c r="E2074" t="str">
        <f t="shared" si="345"/>
        <v>예로나</v>
      </c>
      <c r="H2074" t="str">
        <f t="shared" si="340"/>
        <v>스토리위즈</v>
      </c>
      <c r="I2074" t="str">
        <f t="shared" si="346"/>
        <v>기사가문 망나니는 10클래스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>
        <v>140</v>
      </c>
      <c r="AT2074" t="str">
        <f t="shared" si="347"/>
        <v>9791165310370</v>
      </c>
      <c r="AV2074" t="str">
        <f t="shared" si="348"/>
        <v>판타지 웹소설 &gt; 퓨전 판타지</v>
      </c>
    </row>
    <row r="2075" spans="1:48" x14ac:dyDescent="0.4">
      <c r="A2075">
        <v>2313008150</v>
      </c>
      <c r="B2075">
        <v>2313008214</v>
      </c>
      <c r="C2075" t="str">
        <f>T("기사가문 망나니는 10클래스 65화")</f>
        <v>기사가문 망나니는 10클래스 65화</v>
      </c>
      <c r="D2075" t="str">
        <f>T("65")</f>
        <v>65</v>
      </c>
      <c r="E2075" t="str">
        <f t="shared" si="345"/>
        <v>예로나</v>
      </c>
      <c r="H2075" t="str">
        <f t="shared" si="340"/>
        <v>스토리위즈</v>
      </c>
      <c r="I2075" t="str">
        <f t="shared" si="346"/>
        <v>기사가문 망나니는 10클래스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>
        <v>140</v>
      </c>
      <c r="AT2075" t="str">
        <f t="shared" si="347"/>
        <v>9791165310370</v>
      </c>
      <c r="AV2075" t="str">
        <f t="shared" si="348"/>
        <v>판타지 웹소설 &gt; 퓨전 판타지</v>
      </c>
    </row>
    <row r="2076" spans="1:48" x14ac:dyDescent="0.4">
      <c r="A2076">
        <v>2313008150</v>
      </c>
      <c r="B2076">
        <v>2313008215</v>
      </c>
      <c r="C2076" t="str">
        <f>T("기사가문 망나니는 10클래스 66화")</f>
        <v>기사가문 망나니는 10클래스 66화</v>
      </c>
      <c r="D2076" t="str">
        <f>T("66")</f>
        <v>66</v>
      </c>
      <c r="E2076" t="str">
        <f t="shared" si="345"/>
        <v>예로나</v>
      </c>
      <c r="H2076" t="str">
        <f t="shared" si="340"/>
        <v>스토리위즈</v>
      </c>
      <c r="I2076" t="str">
        <f t="shared" si="346"/>
        <v>기사가문 망나니는 10클래스</v>
      </c>
      <c r="J2076">
        <v>100</v>
      </c>
      <c r="K2076">
        <v>200</v>
      </c>
      <c r="L2076">
        <v>2</v>
      </c>
      <c r="M2076">
        <v>0</v>
      </c>
      <c r="N2076">
        <v>100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300</v>
      </c>
      <c r="AH2076">
        <v>3</v>
      </c>
      <c r="AI2076">
        <v>0</v>
      </c>
      <c r="AJ2076">
        <v>0</v>
      </c>
      <c r="AK2076">
        <v>300</v>
      </c>
      <c r="AL2076">
        <v>0</v>
      </c>
      <c r="AM2076">
        <v>0</v>
      </c>
      <c r="AN2076">
        <v>0</v>
      </c>
      <c r="AO2076">
        <v>0</v>
      </c>
      <c r="AP2076">
        <v>210</v>
      </c>
      <c r="AT2076" t="str">
        <f t="shared" si="347"/>
        <v>9791165310370</v>
      </c>
      <c r="AV2076" t="str">
        <f t="shared" si="348"/>
        <v>판타지 웹소설 &gt; 퓨전 판타지</v>
      </c>
    </row>
    <row r="2077" spans="1:48" x14ac:dyDescent="0.4">
      <c r="A2077">
        <v>2313008150</v>
      </c>
      <c r="B2077">
        <v>2313008216</v>
      </c>
      <c r="C2077" t="str">
        <f>T("기사가문 망나니는 10클래스 67화")</f>
        <v>기사가문 망나니는 10클래스 67화</v>
      </c>
      <c r="D2077" t="str">
        <f>T("67")</f>
        <v>67</v>
      </c>
      <c r="E2077" t="str">
        <f t="shared" si="345"/>
        <v>예로나</v>
      </c>
      <c r="H2077" t="str">
        <f t="shared" si="340"/>
        <v>스토리위즈</v>
      </c>
      <c r="I2077" t="str">
        <f t="shared" si="346"/>
        <v>기사가문 망나니는 10클래스</v>
      </c>
      <c r="J2077">
        <v>100</v>
      </c>
      <c r="K2077">
        <v>200</v>
      </c>
      <c r="L2077">
        <v>2</v>
      </c>
      <c r="M2077">
        <v>0</v>
      </c>
      <c r="N2077">
        <v>100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300</v>
      </c>
      <c r="AH2077">
        <v>3</v>
      </c>
      <c r="AI2077">
        <v>0</v>
      </c>
      <c r="AJ2077">
        <v>0</v>
      </c>
      <c r="AK2077">
        <v>300</v>
      </c>
      <c r="AL2077">
        <v>0</v>
      </c>
      <c r="AM2077">
        <v>0</v>
      </c>
      <c r="AN2077">
        <v>0</v>
      </c>
      <c r="AO2077">
        <v>0</v>
      </c>
      <c r="AP2077">
        <v>210</v>
      </c>
      <c r="AT2077" t="str">
        <f t="shared" si="347"/>
        <v>9791165310370</v>
      </c>
      <c r="AV2077" t="str">
        <f t="shared" si="348"/>
        <v>판타지 웹소설 &gt; 퓨전 판타지</v>
      </c>
    </row>
    <row r="2078" spans="1:48" x14ac:dyDescent="0.4">
      <c r="A2078">
        <v>2313008150</v>
      </c>
      <c r="B2078">
        <v>2313008218</v>
      </c>
      <c r="C2078" t="str">
        <f>T("기사가문 망나니는 10클래스 69화")</f>
        <v>기사가문 망나니는 10클래스 69화</v>
      </c>
      <c r="D2078" t="str">
        <f>T("69")</f>
        <v>69</v>
      </c>
      <c r="E2078" t="str">
        <f t="shared" si="345"/>
        <v>예로나</v>
      </c>
      <c r="H2078" t="str">
        <f t="shared" si="340"/>
        <v>스토리위즈</v>
      </c>
      <c r="I2078" t="str">
        <f t="shared" si="346"/>
        <v>기사가문 망나니는 10클래스</v>
      </c>
      <c r="J2078">
        <v>100</v>
      </c>
      <c r="K2078">
        <v>200</v>
      </c>
      <c r="L2078">
        <v>2</v>
      </c>
      <c r="M2078">
        <v>0</v>
      </c>
      <c r="N2078">
        <v>100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300</v>
      </c>
      <c r="AH2078">
        <v>3</v>
      </c>
      <c r="AI2078">
        <v>0</v>
      </c>
      <c r="AJ2078">
        <v>0</v>
      </c>
      <c r="AK2078">
        <v>300</v>
      </c>
      <c r="AL2078">
        <v>0</v>
      </c>
      <c r="AM2078">
        <v>0</v>
      </c>
      <c r="AN2078">
        <v>0</v>
      </c>
      <c r="AO2078">
        <v>0</v>
      </c>
      <c r="AP2078">
        <v>210</v>
      </c>
      <c r="AT2078" t="str">
        <f t="shared" si="347"/>
        <v>9791165310370</v>
      </c>
      <c r="AV2078" t="str">
        <f t="shared" si="348"/>
        <v>판타지 웹소설 &gt; 퓨전 판타지</v>
      </c>
    </row>
    <row r="2079" spans="1:48" x14ac:dyDescent="0.4">
      <c r="A2079">
        <v>2313008150</v>
      </c>
      <c r="B2079">
        <v>2313008219</v>
      </c>
      <c r="C2079" t="str">
        <f>T("기사가문 망나니는 10클래스 70화")</f>
        <v>기사가문 망나니는 10클래스 70화</v>
      </c>
      <c r="D2079" t="str">
        <f>T("70")</f>
        <v>70</v>
      </c>
      <c r="E2079" t="str">
        <f t="shared" si="345"/>
        <v>예로나</v>
      </c>
      <c r="H2079" t="str">
        <f t="shared" si="340"/>
        <v>스토리위즈</v>
      </c>
      <c r="I2079" t="str">
        <f t="shared" si="346"/>
        <v>기사가문 망나니는 10클래스</v>
      </c>
      <c r="J2079">
        <v>100</v>
      </c>
      <c r="K2079">
        <v>200</v>
      </c>
      <c r="L2079">
        <v>2</v>
      </c>
      <c r="M2079">
        <v>0</v>
      </c>
      <c r="N2079">
        <v>100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300</v>
      </c>
      <c r="AH2079">
        <v>3</v>
      </c>
      <c r="AI2079">
        <v>0</v>
      </c>
      <c r="AJ2079">
        <v>0</v>
      </c>
      <c r="AK2079">
        <v>300</v>
      </c>
      <c r="AL2079">
        <v>0</v>
      </c>
      <c r="AM2079">
        <v>0</v>
      </c>
      <c r="AN2079">
        <v>0</v>
      </c>
      <c r="AO2079">
        <v>0</v>
      </c>
      <c r="AP2079">
        <v>210</v>
      </c>
      <c r="AT2079" t="str">
        <f t="shared" si="347"/>
        <v>9791165310370</v>
      </c>
      <c r="AV2079" t="str">
        <f t="shared" si="348"/>
        <v>판타지 웹소설 &gt; 퓨전 판타지</v>
      </c>
    </row>
    <row r="2080" spans="1:48" x14ac:dyDescent="0.4">
      <c r="A2080">
        <v>2313008150</v>
      </c>
      <c r="B2080">
        <v>2313008220</v>
      </c>
      <c r="C2080" t="str">
        <f>T("기사가문 망나니는 10클래스 71화")</f>
        <v>기사가문 망나니는 10클래스 71화</v>
      </c>
      <c r="D2080" t="str">
        <f>T("71")</f>
        <v>71</v>
      </c>
      <c r="E2080" t="str">
        <f t="shared" si="345"/>
        <v>예로나</v>
      </c>
      <c r="H2080" t="str">
        <f t="shared" si="340"/>
        <v>스토리위즈</v>
      </c>
      <c r="I2080" t="str">
        <f t="shared" si="346"/>
        <v>기사가문 망나니는 10클래스</v>
      </c>
      <c r="J2080">
        <v>100</v>
      </c>
      <c r="K2080">
        <v>200</v>
      </c>
      <c r="L2080">
        <v>2</v>
      </c>
      <c r="M2080">
        <v>0</v>
      </c>
      <c r="N2080">
        <v>100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300</v>
      </c>
      <c r="AH2080">
        <v>3</v>
      </c>
      <c r="AI2080">
        <v>0</v>
      </c>
      <c r="AJ2080">
        <v>0</v>
      </c>
      <c r="AK2080">
        <v>300</v>
      </c>
      <c r="AL2080">
        <v>0</v>
      </c>
      <c r="AM2080">
        <v>0</v>
      </c>
      <c r="AN2080">
        <v>0</v>
      </c>
      <c r="AO2080">
        <v>0</v>
      </c>
      <c r="AP2080">
        <v>210</v>
      </c>
      <c r="AT2080" t="str">
        <f t="shared" si="347"/>
        <v>9791165310370</v>
      </c>
      <c r="AV2080" t="str">
        <f t="shared" si="348"/>
        <v>판타지 웹소설 &gt; 퓨전 판타지</v>
      </c>
    </row>
    <row r="2081" spans="1:48" x14ac:dyDescent="0.4">
      <c r="A2081">
        <v>2313008150</v>
      </c>
      <c r="B2081">
        <v>2313008221</v>
      </c>
      <c r="C2081" t="str">
        <f>T("기사가문 망나니는 10클래스 72화")</f>
        <v>기사가문 망나니는 10클래스 72화</v>
      </c>
      <c r="D2081" t="str">
        <f>T("72")</f>
        <v>72</v>
      </c>
      <c r="E2081" t="str">
        <f t="shared" si="345"/>
        <v>예로나</v>
      </c>
      <c r="H2081" t="str">
        <f t="shared" si="340"/>
        <v>스토리위즈</v>
      </c>
      <c r="I2081" t="str">
        <f t="shared" si="346"/>
        <v>기사가문 망나니는 10클래스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200</v>
      </c>
      <c r="AL2081">
        <v>0</v>
      </c>
      <c r="AM2081">
        <v>0</v>
      </c>
      <c r="AN2081">
        <v>0</v>
      </c>
      <c r="AO2081">
        <v>0</v>
      </c>
      <c r="AP2081">
        <v>140</v>
      </c>
      <c r="AT2081" t="str">
        <f t="shared" si="347"/>
        <v>9791165310370</v>
      </c>
      <c r="AV2081" t="str">
        <f t="shared" si="348"/>
        <v>판타지 웹소설 &gt; 퓨전 판타지</v>
      </c>
    </row>
    <row r="2082" spans="1:48" x14ac:dyDescent="0.4">
      <c r="A2082">
        <v>2313008150</v>
      </c>
      <c r="B2082">
        <v>2313008222</v>
      </c>
      <c r="C2082" t="str">
        <f>T("기사가문 망나니는 10클래스 73화")</f>
        <v>기사가문 망나니는 10클래스 73화</v>
      </c>
      <c r="D2082" t="str">
        <f>T("73")</f>
        <v>73</v>
      </c>
      <c r="E2082" t="str">
        <f t="shared" si="345"/>
        <v>예로나</v>
      </c>
      <c r="H2082" t="str">
        <f t="shared" si="340"/>
        <v>스토리위즈</v>
      </c>
      <c r="I2082" t="str">
        <f t="shared" si="346"/>
        <v>기사가문 망나니는 10클래스</v>
      </c>
      <c r="J2082">
        <v>100</v>
      </c>
      <c r="K2082">
        <v>200</v>
      </c>
      <c r="L2082">
        <v>2</v>
      </c>
      <c r="M2082">
        <v>0</v>
      </c>
      <c r="N2082">
        <v>100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300</v>
      </c>
      <c r="AH2082">
        <v>3</v>
      </c>
      <c r="AI2082">
        <v>0</v>
      </c>
      <c r="AJ2082">
        <v>0</v>
      </c>
      <c r="AK2082">
        <v>300</v>
      </c>
      <c r="AL2082">
        <v>0</v>
      </c>
      <c r="AM2082">
        <v>0</v>
      </c>
      <c r="AN2082">
        <v>0</v>
      </c>
      <c r="AO2082">
        <v>0</v>
      </c>
      <c r="AP2082">
        <v>210</v>
      </c>
      <c r="AT2082" t="str">
        <f t="shared" si="347"/>
        <v>9791165310370</v>
      </c>
      <c r="AV2082" t="str">
        <f t="shared" si="348"/>
        <v>판타지 웹소설 &gt; 퓨전 판타지</v>
      </c>
    </row>
    <row r="2083" spans="1:48" x14ac:dyDescent="0.4">
      <c r="A2083">
        <v>2313008150</v>
      </c>
      <c r="B2083">
        <v>2313008224</v>
      </c>
      <c r="C2083" t="str">
        <f>T("기사가문 망나니는 10클래스 75화")</f>
        <v>기사가문 망나니는 10클래스 75화</v>
      </c>
      <c r="D2083" t="str">
        <f>T("75")</f>
        <v>75</v>
      </c>
      <c r="E2083" t="str">
        <f t="shared" si="345"/>
        <v>예로나</v>
      </c>
      <c r="H2083" t="str">
        <f t="shared" ref="H2083:H2146" si="349">T("스토리위즈")</f>
        <v>스토리위즈</v>
      </c>
      <c r="I2083" t="str">
        <f t="shared" si="346"/>
        <v>기사가문 망나니는 10클래스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>
        <v>140</v>
      </c>
      <c r="AT2083" t="str">
        <f t="shared" si="347"/>
        <v>9791165310370</v>
      </c>
      <c r="AV2083" t="str">
        <f t="shared" si="348"/>
        <v>판타지 웹소설 &gt; 퓨전 판타지</v>
      </c>
    </row>
    <row r="2084" spans="1:48" x14ac:dyDescent="0.4">
      <c r="A2084">
        <v>2313008150</v>
      </c>
      <c r="B2084">
        <v>2313008226</v>
      </c>
      <c r="C2084" t="str">
        <f>T("기사가문 망나니는 10클래스 77화")</f>
        <v>기사가문 망나니는 10클래스 77화</v>
      </c>
      <c r="D2084" t="str">
        <f>T("77")</f>
        <v>77</v>
      </c>
      <c r="E2084" t="str">
        <f t="shared" si="345"/>
        <v>예로나</v>
      </c>
      <c r="H2084" t="str">
        <f t="shared" si="349"/>
        <v>스토리위즈</v>
      </c>
      <c r="I2084" t="str">
        <f t="shared" si="346"/>
        <v>기사가문 망나니는 10클래스</v>
      </c>
      <c r="J2084">
        <v>100</v>
      </c>
      <c r="K2084">
        <v>200</v>
      </c>
      <c r="L2084">
        <v>2</v>
      </c>
      <c r="M2084">
        <v>0</v>
      </c>
      <c r="N2084">
        <v>100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300</v>
      </c>
      <c r="AH2084">
        <v>3</v>
      </c>
      <c r="AI2084">
        <v>0</v>
      </c>
      <c r="AJ2084">
        <v>0</v>
      </c>
      <c r="AK2084">
        <v>300</v>
      </c>
      <c r="AL2084">
        <v>0</v>
      </c>
      <c r="AM2084">
        <v>0</v>
      </c>
      <c r="AN2084">
        <v>0</v>
      </c>
      <c r="AO2084">
        <v>0</v>
      </c>
      <c r="AP2084">
        <v>210</v>
      </c>
      <c r="AT2084" t="str">
        <f t="shared" si="347"/>
        <v>9791165310370</v>
      </c>
      <c r="AV2084" t="str">
        <f t="shared" si="348"/>
        <v>판타지 웹소설 &gt; 퓨전 판타지</v>
      </c>
    </row>
    <row r="2085" spans="1:48" x14ac:dyDescent="0.4">
      <c r="A2085">
        <v>2313008150</v>
      </c>
      <c r="B2085">
        <v>2313008227</v>
      </c>
      <c r="C2085" t="str">
        <f>T("기사가문 망나니는 10클래스 78화")</f>
        <v>기사가문 망나니는 10클래스 78화</v>
      </c>
      <c r="D2085" t="str">
        <f>T("78")</f>
        <v>78</v>
      </c>
      <c r="E2085" t="str">
        <f t="shared" si="345"/>
        <v>예로나</v>
      </c>
      <c r="H2085" t="str">
        <f t="shared" si="349"/>
        <v>스토리위즈</v>
      </c>
      <c r="I2085" t="str">
        <f t="shared" si="346"/>
        <v>기사가문 망나니는 10클래스</v>
      </c>
      <c r="J2085">
        <v>100</v>
      </c>
      <c r="K2085">
        <v>200</v>
      </c>
      <c r="L2085">
        <v>2</v>
      </c>
      <c r="M2085">
        <v>0</v>
      </c>
      <c r="N2085">
        <v>100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300</v>
      </c>
      <c r="AH2085">
        <v>3</v>
      </c>
      <c r="AI2085">
        <v>0</v>
      </c>
      <c r="AJ2085">
        <v>0</v>
      </c>
      <c r="AK2085">
        <v>300</v>
      </c>
      <c r="AL2085">
        <v>0</v>
      </c>
      <c r="AM2085">
        <v>0</v>
      </c>
      <c r="AN2085">
        <v>0</v>
      </c>
      <c r="AO2085">
        <v>0</v>
      </c>
      <c r="AP2085">
        <v>210</v>
      </c>
      <c r="AT2085" t="str">
        <f t="shared" si="347"/>
        <v>9791165310370</v>
      </c>
      <c r="AV2085" t="str">
        <f t="shared" si="348"/>
        <v>판타지 웹소설 &gt; 퓨전 판타지</v>
      </c>
    </row>
    <row r="2086" spans="1:48" x14ac:dyDescent="0.4">
      <c r="A2086">
        <v>2313008150</v>
      </c>
      <c r="B2086">
        <v>2313008228</v>
      </c>
      <c r="C2086" t="str">
        <f>T("기사가문 망나니는 10클래스 79화")</f>
        <v>기사가문 망나니는 10클래스 79화</v>
      </c>
      <c r="D2086" t="str">
        <f>T("79")</f>
        <v>79</v>
      </c>
      <c r="E2086" t="str">
        <f t="shared" si="345"/>
        <v>예로나</v>
      </c>
      <c r="H2086" t="str">
        <f t="shared" si="349"/>
        <v>스토리위즈</v>
      </c>
      <c r="I2086" t="str">
        <f t="shared" si="346"/>
        <v>기사가문 망나니는 10클래스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>
        <v>140</v>
      </c>
      <c r="AT2086" t="str">
        <f t="shared" si="347"/>
        <v>9791165310370</v>
      </c>
      <c r="AV2086" t="str">
        <f t="shared" si="348"/>
        <v>판타지 웹소설 &gt; 퓨전 판타지</v>
      </c>
    </row>
    <row r="2087" spans="1:48" x14ac:dyDescent="0.4">
      <c r="A2087">
        <v>2313008150</v>
      </c>
      <c r="B2087">
        <v>2313008229</v>
      </c>
      <c r="C2087" t="str">
        <f>T("기사가문 망나니는 10클래스 80화")</f>
        <v>기사가문 망나니는 10클래스 80화</v>
      </c>
      <c r="D2087" t="str">
        <f>T("80")</f>
        <v>80</v>
      </c>
      <c r="E2087" t="str">
        <f t="shared" si="345"/>
        <v>예로나</v>
      </c>
      <c r="H2087" t="str">
        <f t="shared" si="349"/>
        <v>스토리위즈</v>
      </c>
      <c r="I2087" t="str">
        <f t="shared" si="346"/>
        <v>기사가문 망나니는 10클래스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>
        <v>140</v>
      </c>
      <c r="AT2087" t="str">
        <f t="shared" si="347"/>
        <v>9791165310370</v>
      </c>
      <c r="AV2087" t="str">
        <f t="shared" si="348"/>
        <v>판타지 웹소설 &gt; 퓨전 판타지</v>
      </c>
    </row>
    <row r="2088" spans="1:48" x14ac:dyDescent="0.4">
      <c r="A2088">
        <v>2313008150</v>
      </c>
      <c r="B2088">
        <v>2313008230</v>
      </c>
      <c r="C2088" t="str">
        <f>T("기사가문 망나니는 10클래스 81화")</f>
        <v>기사가문 망나니는 10클래스 81화</v>
      </c>
      <c r="D2088" t="str">
        <f>T("81")</f>
        <v>81</v>
      </c>
      <c r="E2088" t="str">
        <f t="shared" si="345"/>
        <v>예로나</v>
      </c>
      <c r="H2088" t="str">
        <f t="shared" si="349"/>
        <v>스토리위즈</v>
      </c>
      <c r="I2088" t="str">
        <f t="shared" si="346"/>
        <v>기사가문 망나니는 10클래스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>
        <v>140</v>
      </c>
      <c r="AT2088" t="str">
        <f t="shared" si="347"/>
        <v>9791165310370</v>
      </c>
      <c r="AV2088" t="str">
        <f t="shared" si="348"/>
        <v>판타지 웹소설 &gt; 퓨전 판타지</v>
      </c>
    </row>
    <row r="2089" spans="1:48" x14ac:dyDescent="0.4">
      <c r="A2089">
        <v>2313008150</v>
      </c>
      <c r="B2089">
        <v>2313008231</v>
      </c>
      <c r="C2089" t="str">
        <f>T("기사가문 망나니는 10클래스 82화")</f>
        <v>기사가문 망나니는 10클래스 82화</v>
      </c>
      <c r="D2089" t="str">
        <f>T("82")</f>
        <v>82</v>
      </c>
      <c r="E2089" t="str">
        <f t="shared" si="345"/>
        <v>예로나</v>
      </c>
      <c r="H2089" t="str">
        <f t="shared" si="349"/>
        <v>스토리위즈</v>
      </c>
      <c r="I2089" t="str">
        <f t="shared" si="346"/>
        <v>기사가문 망나니는 10클래스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>
        <v>140</v>
      </c>
      <c r="AT2089" t="str">
        <f t="shared" si="347"/>
        <v>9791165310370</v>
      </c>
      <c r="AV2089" t="str">
        <f t="shared" si="348"/>
        <v>판타지 웹소설 &gt; 퓨전 판타지</v>
      </c>
    </row>
    <row r="2090" spans="1:48" x14ac:dyDescent="0.4">
      <c r="A2090">
        <v>2313008150</v>
      </c>
      <c r="B2090">
        <v>2313008232</v>
      </c>
      <c r="C2090" t="str">
        <f>T("기사가문 망나니는 10클래스 83화")</f>
        <v>기사가문 망나니는 10클래스 83화</v>
      </c>
      <c r="D2090" t="str">
        <f>T("83")</f>
        <v>83</v>
      </c>
      <c r="E2090" t="str">
        <f t="shared" si="345"/>
        <v>예로나</v>
      </c>
      <c r="H2090" t="str">
        <f t="shared" si="349"/>
        <v>스토리위즈</v>
      </c>
      <c r="I2090" t="str">
        <f t="shared" si="346"/>
        <v>기사가문 망나니는 10클래스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>
        <v>140</v>
      </c>
      <c r="AT2090" t="str">
        <f t="shared" si="347"/>
        <v>9791165310370</v>
      </c>
      <c r="AV2090" t="str">
        <f t="shared" si="348"/>
        <v>판타지 웹소설 &gt; 퓨전 판타지</v>
      </c>
    </row>
    <row r="2091" spans="1:48" x14ac:dyDescent="0.4">
      <c r="A2091">
        <v>2313008150</v>
      </c>
      <c r="B2091">
        <v>2313008233</v>
      </c>
      <c r="C2091" t="str">
        <f>T("기사가문 망나니는 10클래스 84화")</f>
        <v>기사가문 망나니는 10클래스 84화</v>
      </c>
      <c r="D2091" t="str">
        <f>T("84")</f>
        <v>84</v>
      </c>
      <c r="E2091" t="str">
        <f t="shared" si="345"/>
        <v>예로나</v>
      </c>
      <c r="H2091" t="str">
        <f t="shared" si="349"/>
        <v>스토리위즈</v>
      </c>
      <c r="I2091" t="str">
        <f t="shared" si="346"/>
        <v>기사가문 망나니는 10클래스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>
        <v>140</v>
      </c>
      <c r="AT2091" t="str">
        <f t="shared" si="347"/>
        <v>9791165310370</v>
      </c>
      <c r="AV2091" t="str">
        <f t="shared" si="348"/>
        <v>판타지 웹소설 &gt; 퓨전 판타지</v>
      </c>
    </row>
    <row r="2092" spans="1:48" x14ac:dyDescent="0.4">
      <c r="A2092">
        <v>2313008150</v>
      </c>
      <c r="B2092">
        <v>2313008235</v>
      </c>
      <c r="C2092" t="str">
        <f>T("기사가문 망나니는 10클래스 86화")</f>
        <v>기사가문 망나니는 10클래스 86화</v>
      </c>
      <c r="D2092" t="str">
        <f>T("86")</f>
        <v>86</v>
      </c>
      <c r="E2092" t="str">
        <f t="shared" si="345"/>
        <v>예로나</v>
      </c>
      <c r="H2092" t="str">
        <f t="shared" si="349"/>
        <v>스토리위즈</v>
      </c>
      <c r="I2092" t="str">
        <f t="shared" si="346"/>
        <v>기사가문 망나니는 10클래스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>
        <v>140</v>
      </c>
      <c r="AT2092" t="str">
        <f t="shared" si="347"/>
        <v>9791165310370</v>
      </c>
      <c r="AV2092" t="str">
        <f t="shared" si="348"/>
        <v>판타지 웹소설 &gt; 퓨전 판타지</v>
      </c>
    </row>
    <row r="2093" spans="1:48" x14ac:dyDescent="0.4">
      <c r="A2093">
        <v>2313008150</v>
      </c>
      <c r="B2093">
        <v>2313008237</v>
      </c>
      <c r="C2093" t="str">
        <f>T("기사가문 망나니는 10클래스 88화")</f>
        <v>기사가문 망나니는 10클래스 88화</v>
      </c>
      <c r="D2093" t="str">
        <f>T("88")</f>
        <v>88</v>
      </c>
      <c r="E2093" t="str">
        <f t="shared" si="345"/>
        <v>예로나</v>
      </c>
      <c r="H2093" t="str">
        <f t="shared" si="349"/>
        <v>스토리위즈</v>
      </c>
      <c r="I2093" t="str">
        <f t="shared" si="346"/>
        <v>기사가문 망나니는 10클래스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>
        <v>140</v>
      </c>
      <c r="AT2093" t="str">
        <f t="shared" si="347"/>
        <v>9791165310370</v>
      </c>
      <c r="AV2093" t="str">
        <f t="shared" si="348"/>
        <v>판타지 웹소설 &gt; 퓨전 판타지</v>
      </c>
    </row>
    <row r="2094" spans="1:48" x14ac:dyDescent="0.4">
      <c r="A2094">
        <v>2313008150</v>
      </c>
      <c r="B2094">
        <v>2313008241</v>
      </c>
      <c r="C2094" t="str">
        <f>T("기사가문 망나니는 10클래스 92화")</f>
        <v>기사가문 망나니는 10클래스 92화</v>
      </c>
      <c r="D2094" t="str">
        <f>T("92")</f>
        <v>92</v>
      </c>
      <c r="E2094" t="str">
        <f t="shared" si="345"/>
        <v>예로나</v>
      </c>
      <c r="H2094" t="str">
        <f t="shared" si="349"/>
        <v>스토리위즈</v>
      </c>
      <c r="I2094" t="str">
        <f t="shared" si="346"/>
        <v>기사가문 망나니는 10클래스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>
        <v>140</v>
      </c>
      <c r="AT2094" t="str">
        <f t="shared" si="347"/>
        <v>9791165310370</v>
      </c>
      <c r="AV2094" t="str">
        <f t="shared" si="348"/>
        <v>판타지 웹소설 &gt; 퓨전 판타지</v>
      </c>
    </row>
    <row r="2095" spans="1:48" x14ac:dyDescent="0.4">
      <c r="A2095">
        <v>2313008150</v>
      </c>
      <c r="B2095">
        <v>2313008249</v>
      </c>
      <c r="C2095" t="str">
        <f>T("기사가문 망나니는 10클래스 100화")</f>
        <v>기사가문 망나니는 10클래스 100화</v>
      </c>
      <c r="D2095" t="str">
        <f>T("100")</f>
        <v>100</v>
      </c>
      <c r="E2095" t="str">
        <f t="shared" si="345"/>
        <v>예로나</v>
      </c>
      <c r="H2095" t="str">
        <f t="shared" si="349"/>
        <v>스토리위즈</v>
      </c>
      <c r="I2095" t="str">
        <f t="shared" si="346"/>
        <v>기사가문 망나니는 10클래스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>
        <v>140</v>
      </c>
      <c r="AT2095" t="str">
        <f t="shared" si="347"/>
        <v>9791165310370</v>
      </c>
      <c r="AV2095" t="str">
        <f t="shared" si="348"/>
        <v>판타지 웹소설 &gt; 퓨전 판타지</v>
      </c>
    </row>
    <row r="2096" spans="1:48" x14ac:dyDescent="0.4">
      <c r="A2096">
        <v>2313008150</v>
      </c>
      <c r="B2096">
        <v>2313008250</v>
      </c>
      <c r="C2096" t="str">
        <f>T("기사가문 망나니는 10클래스 101화")</f>
        <v>기사가문 망나니는 10클래스 101화</v>
      </c>
      <c r="D2096" t="str">
        <f>T("101")</f>
        <v>101</v>
      </c>
      <c r="E2096" t="str">
        <f t="shared" si="345"/>
        <v>예로나</v>
      </c>
      <c r="H2096" t="str">
        <f t="shared" si="349"/>
        <v>스토리위즈</v>
      </c>
      <c r="I2096" t="str">
        <f t="shared" si="346"/>
        <v>기사가문 망나니는 10클래스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>
        <v>140</v>
      </c>
      <c r="AT2096" t="str">
        <f t="shared" si="347"/>
        <v>9791165310370</v>
      </c>
      <c r="AV2096" t="str">
        <f t="shared" si="348"/>
        <v>판타지 웹소설 &gt; 퓨전 판타지</v>
      </c>
    </row>
    <row r="2097" spans="1:48" x14ac:dyDescent="0.4">
      <c r="A2097">
        <v>2313008150</v>
      </c>
      <c r="B2097">
        <v>2313008253</v>
      </c>
      <c r="C2097" t="str">
        <f>T("기사가문 망나니는 10클래스 104화")</f>
        <v>기사가문 망나니는 10클래스 104화</v>
      </c>
      <c r="D2097" t="str">
        <f>T("104")</f>
        <v>104</v>
      </c>
      <c r="E2097" t="str">
        <f t="shared" si="345"/>
        <v>예로나</v>
      </c>
      <c r="H2097" t="str">
        <f t="shared" si="349"/>
        <v>스토리위즈</v>
      </c>
      <c r="I2097" t="str">
        <f t="shared" si="346"/>
        <v>기사가문 망나니는 10클래스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>
        <v>140</v>
      </c>
      <c r="AT2097" t="str">
        <f t="shared" si="347"/>
        <v>9791165310370</v>
      </c>
      <c r="AV2097" t="str">
        <f t="shared" si="348"/>
        <v>판타지 웹소설 &gt; 퓨전 판타지</v>
      </c>
    </row>
    <row r="2098" spans="1:48" x14ac:dyDescent="0.4">
      <c r="A2098">
        <v>2313008150</v>
      </c>
      <c r="B2098">
        <v>2313008254</v>
      </c>
      <c r="C2098" t="str">
        <f>T("기사가문 망나니는 10클래스 105화")</f>
        <v>기사가문 망나니는 10클래스 105화</v>
      </c>
      <c r="D2098" t="str">
        <f>T("105")</f>
        <v>105</v>
      </c>
      <c r="E2098" t="str">
        <f t="shared" si="345"/>
        <v>예로나</v>
      </c>
      <c r="H2098" t="str">
        <f t="shared" si="349"/>
        <v>스토리위즈</v>
      </c>
      <c r="I2098" t="str">
        <f t="shared" si="346"/>
        <v>기사가문 망나니는 10클래스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>
        <v>140</v>
      </c>
      <c r="AT2098" t="str">
        <f t="shared" si="347"/>
        <v>9791165310370</v>
      </c>
      <c r="AV2098" t="str">
        <f t="shared" si="348"/>
        <v>판타지 웹소설 &gt; 퓨전 판타지</v>
      </c>
    </row>
    <row r="2099" spans="1:48" x14ac:dyDescent="0.4">
      <c r="A2099">
        <v>2313008150</v>
      </c>
      <c r="B2099">
        <v>2313008256</v>
      </c>
      <c r="C2099" t="str">
        <f>T("기사가문 망나니는 10클래스 107화")</f>
        <v>기사가문 망나니는 10클래스 107화</v>
      </c>
      <c r="D2099" t="str">
        <f>T("107")</f>
        <v>107</v>
      </c>
      <c r="E2099" t="str">
        <f t="shared" si="345"/>
        <v>예로나</v>
      </c>
      <c r="H2099" t="str">
        <f t="shared" si="349"/>
        <v>스토리위즈</v>
      </c>
      <c r="I2099" t="str">
        <f t="shared" si="346"/>
        <v>기사가문 망나니는 10클래스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>
        <v>140</v>
      </c>
      <c r="AT2099" t="str">
        <f t="shared" si="347"/>
        <v>9791165310370</v>
      </c>
      <c r="AV2099" t="str">
        <f t="shared" si="348"/>
        <v>판타지 웹소설 &gt; 퓨전 판타지</v>
      </c>
    </row>
    <row r="2100" spans="1:48" x14ac:dyDescent="0.4">
      <c r="A2100">
        <v>2313008150</v>
      </c>
      <c r="B2100">
        <v>2313008257</v>
      </c>
      <c r="C2100" t="str">
        <f>T("기사가문 망나니는 10클래스 108화")</f>
        <v>기사가문 망나니는 10클래스 108화</v>
      </c>
      <c r="D2100" t="str">
        <f>T("108")</f>
        <v>108</v>
      </c>
      <c r="E2100" t="str">
        <f t="shared" si="345"/>
        <v>예로나</v>
      </c>
      <c r="H2100" t="str">
        <f t="shared" si="349"/>
        <v>스토리위즈</v>
      </c>
      <c r="I2100" t="str">
        <f t="shared" si="346"/>
        <v>기사가문 망나니는 10클래스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>
        <v>140</v>
      </c>
      <c r="AT2100" t="str">
        <f t="shared" si="347"/>
        <v>9791165310370</v>
      </c>
      <c r="AV2100" t="str">
        <f t="shared" si="348"/>
        <v>판타지 웹소설 &gt; 퓨전 판타지</v>
      </c>
    </row>
    <row r="2101" spans="1:48" x14ac:dyDescent="0.4">
      <c r="A2101">
        <v>2313008150</v>
      </c>
      <c r="B2101">
        <v>2313008258</v>
      </c>
      <c r="C2101" t="str">
        <f>T("기사가문 망나니는 10클래스 109화")</f>
        <v>기사가문 망나니는 10클래스 109화</v>
      </c>
      <c r="D2101" t="str">
        <f>T("109")</f>
        <v>109</v>
      </c>
      <c r="E2101" t="str">
        <f t="shared" si="345"/>
        <v>예로나</v>
      </c>
      <c r="H2101" t="str">
        <f t="shared" si="349"/>
        <v>스토리위즈</v>
      </c>
      <c r="I2101" t="str">
        <f t="shared" si="346"/>
        <v>기사가문 망나니는 10클래스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>
        <v>140</v>
      </c>
      <c r="AT2101" t="str">
        <f t="shared" si="347"/>
        <v>9791165310370</v>
      </c>
      <c r="AV2101" t="str">
        <f t="shared" si="348"/>
        <v>판타지 웹소설 &gt; 퓨전 판타지</v>
      </c>
    </row>
    <row r="2102" spans="1:48" x14ac:dyDescent="0.4">
      <c r="A2102">
        <v>2313008150</v>
      </c>
      <c r="B2102">
        <v>2313008259</v>
      </c>
      <c r="C2102" t="str">
        <f>T("기사가문 망나니는 10클래스 110화")</f>
        <v>기사가문 망나니는 10클래스 110화</v>
      </c>
      <c r="D2102" t="str">
        <f>T("110")</f>
        <v>110</v>
      </c>
      <c r="E2102" t="str">
        <f t="shared" si="345"/>
        <v>예로나</v>
      </c>
      <c r="H2102" t="str">
        <f t="shared" si="349"/>
        <v>스토리위즈</v>
      </c>
      <c r="I2102" t="str">
        <f t="shared" si="346"/>
        <v>기사가문 망나니는 10클래스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>
        <v>140</v>
      </c>
      <c r="AT2102" t="str">
        <f t="shared" si="347"/>
        <v>9791165310370</v>
      </c>
      <c r="AV2102" t="str">
        <f t="shared" si="348"/>
        <v>판타지 웹소설 &gt; 퓨전 판타지</v>
      </c>
    </row>
    <row r="2103" spans="1:48" x14ac:dyDescent="0.4">
      <c r="A2103">
        <v>2313008150</v>
      </c>
      <c r="B2103">
        <v>2313008260</v>
      </c>
      <c r="C2103" t="str">
        <f>T("기사가문 망나니는 10클래스 111화")</f>
        <v>기사가문 망나니는 10클래스 111화</v>
      </c>
      <c r="D2103" t="str">
        <f>T("111")</f>
        <v>111</v>
      </c>
      <c r="E2103" t="str">
        <f t="shared" si="345"/>
        <v>예로나</v>
      </c>
      <c r="H2103" t="str">
        <f t="shared" si="349"/>
        <v>스토리위즈</v>
      </c>
      <c r="I2103" t="str">
        <f t="shared" si="346"/>
        <v>기사가문 망나니는 10클래스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>
        <v>140</v>
      </c>
      <c r="AT2103" t="str">
        <f t="shared" si="347"/>
        <v>9791165310370</v>
      </c>
      <c r="AV2103" t="str">
        <f t="shared" si="348"/>
        <v>판타지 웹소설 &gt; 퓨전 판타지</v>
      </c>
    </row>
    <row r="2104" spans="1:48" x14ac:dyDescent="0.4">
      <c r="A2104">
        <v>2313008150</v>
      </c>
      <c r="B2104">
        <v>2313008270</v>
      </c>
      <c r="C2104" t="str">
        <f>T("기사가문 망나니는 10클래스 121화")</f>
        <v>기사가문 망나니는 10클래스 121화</v>
      </c>
      <c r="D2104" t="str">
        <f>T("121")</f>
        <v>121</v>
      </c>
      <c r="E2104" t="str">
        <f t="shared" si="345"/>
        <v>예로나</v>
      </c>
      <c r="H2104" t="str">
        <f t="shared" si="349"/>
        <v>스토리위즈</v>
      </c>
      <c r="I2104" t="str">
        <f t="shared" si="346"/>
        <v>기사가문 망나니는 10클래스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>
        <v>140</v>
      </c>
      <c r="AT2104" t="str">
        <f t="shared" si="347"/>
        <v>9791165310370</v>
      </c>
      <c r="AV2104" t="str">
        <f t="shared" si="348"/>
        <v>판타지 웹소설 &gt; 퓨전 판타지</v>
      </c>
    </row>
    <row r="2105" spans="1:48" x14ac:dyDescent="0.4">
      <c r="A2105">
        <v>2313008150</v>
      </c>
      <c r="B2105">
        <v>2313008271</v>
      </c>
      <c r="C2105" t="str">
        <f>T("기사가문 망나니는 10클래스 122화")</f>
        <v>기사가문 망나니는 10클래스 122화</v>
      </c>
      <c r="D2105" t="str">
        <f>T("122")</f>
        <v>122</v>
      </c>
      <c r="E2105" t="str">
        <f t="shared" si="345"/>
        <v>예로나</v>
      </c>
      <c r="H2105" t="str">
        <f t="shared" si="349"/>
        <v>스토리위즈</v>
      </c>
      <c r="I2105" t="str">
        <f t="shared" si="346"/>
        <v>기사가문 망나니는 10클래스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>
        <v>140</v>
      </c>
      <c r="AT2105" t="str">
        <f t="shared" si="347"/>
        <v>9791165310370</v>
      </c>
      <c r="AV2105" t="str">
        <f t="shared" si="348"/>
        <v>판타지 웹소설 &gt; 퓨전 판타지</v>
      </c>
    </row>
    <row r="2106" spans="1:48" x14ac:dyDescent="0.4">
      <c r="A2106">
        <v>2313008150</v>
      </c>
      <c r="B2106">
        <v>2313008272</v>
      </c>
      <c r="C2106" t="str">
        <f>T("기사가문 망나니는 10클래스 123화")</f>
        <v>기사가문 망나니는 10클래스 123화</v>
      </c>
      <c r="D2106" t="str">
        <f>T("123")</f>
        <v>123</v>
      </c>
      <c r="E2106" t="str">
        <f t="shared" si="345"/>
        <v>예로나</v>
      </c>
      <c r="H2106" t="str">
        <f t="shared" si="349"/>
        <v>스토리위즈</v>
      </c>
      <c r="I2106" t="str">
        <f t="shared" si="346"/>
        <v>기사가문 망나니는 10클래스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>
        <v>140</v>
      </c>
      <c r="AT2106" t="str">
        <f t="shared" si="347"/>
        <v>9791165310370</v>
      </c>
      <c r="AV2106" t="str">
        <f t="shared" si="348"/>
        <v>판타지 웹소설 &gt; 퓨전 판타지</v>
      </c>
    </row>
    <row r="2107" spans="1:48" x14ac:dyDescent="0.4">
      <c r="A2107">
        <v>2313008150</v>
      </c>
      <c r="B2107">
        <v>2313008273</v>
      </c>
      <c r="C2107" t="str">
        <f>T("기사가문 망나니는 10클래스 124화")</f>
        <v>기사가문 망나니는 10클래스 124화</v>
      </c>
      <c r="D2107" t="str">
        <f>T("124")</f>
        <v>124</v>
      </c>
      <c r="E2107" t="str">
        <f t="shared" si="345"/>
        <v>예로나</v>
      </c>
      <c r="H2107" t="str">
        <f t="shared" si="349"/>
        <v>스토리위즈</v>
      </c>
      <c r="I2107" t="str">
        <f t="shared" si="346"/>
        <v>기사가문 망나니는 10클래스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>
        <v>140</v>
      </c>
      <c r="AT2107" t="str">
        <f t="shared" si="347"/>
        <v>9791165310370</v>
      </c>
      <c r="AV2107" t="str">
        <f t="shared" si="348"/>
        <v>판타지 웹소설 &gt; 퓨전 판타지</v>
      </c>
    </row>
    <row r="2108" spans="1:48" x14ac:dyDescent="0.4">
      <c r="A2108">
        <v>2313009418</v>
      </c>
      <c r="B2108">
        <v>2313009440</v>
      </c>
      <c r="C2108" t="str">
        <f>T("은천검제(2부 화산검제) 23화")</f>
        <v>은천검제(2부 화산검제) 23화</v>
      </c>
      <c r="D2108" t="str">
        <f>T("23")</f>
        <v>23</v>
      </c>
      <c r="E2108" t="str">
        <f t="shared" ref="E2108:E2171" si="350">T("무장")</f>
        <v>무장</v>
      </c>
      <c r="H2108" t="str">
        <f t="shared" si="349"/>
        <v>스토리위즈</v>
      </c>
      <c r="I2108" t="str">
        <f t="shared" ref="I2108:I2171" si="351">T("은천검제(2부 화산검제)")</f>
        <v>은천검제(2부 화산검제)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>
        <v>140</v>
      </c>
      <c r="AV2108" t="str">
        <f t="shared" ref="AV2108:AV2171" si="352">T("판타지 웹소설 &gt; 무협 소설")</f>
        <v>판타지 웹소설 &gt; 무협 소설</v>
      </c>
    </row>
    <row r="2109" spans="1:48" x14ac:dyDescent="0.4">
      <c r="A2109">
        <v>2313009418</v>
      </c>
      <c r="B2109">
        <v>2313009441</v>
      </c>
      <c r="C2109" t="str">
        <f>T("은천검제(2부 화산검제) 24화")</f>
        <v>은천검제(2부 화산검제) 24화</v>
      </c>
      <c r="D2109" t="str">
        <f>T("24")</f>
        <v>24</v>
      </c>
      <c r="E2109" t="str">
        <f t="shared" si="350"/>
        <v>무장</v>
      </c>
      <c r="H2109" t="str">
        <f t="shared" si="349"/>
        <v>스토리위즈</v>
      </c>
      <c r="I2109" t="str">
        <f t="shared" si="351"/>
        <v>은천검제(2부 화산검제)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>
        <v>140</v>
      </c>
      <c r="AV2109" t="str">
        <f t="shared" si="352"/>
        <v>판타지 웹소설 &gt; 무협 소설</v>
      </c>
    </row>
    <row r="2110" spans="1:48" x14ac:dyDescent="0.4">
      <c r="A2110">
        <v>2313009418</v>
      </c>
      <c r="B2110">
        <v>2313009442</v>
      </c>
      <c r="C2110" t="str">
        <f>T("은천검제(2부 화산검제) 25화")</f>
        <v>은천검제(2부 화산검제) 25화</v>
      </c>
      <c r="D2110" t="str">
        <f>T("25")</f>
        <v>25</v>
      </c>
      <c r="E2110" t="str">
        <f t="shared" si="350"/>
        <v>무장</v>
      </c>
      <c r="H2110" t="str">
        <f t="shared" si="349"/>
        <v>스토리위즈</v>
      </c>
      <c r="I2110" t="str">
        <f t="shared" si="351"/>
        <v>은천검제(2부 화산검제)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>
        <v>140</v>
      </c>
      <c r="AV2110" t="str">
        <f t="shared" si="352"/>
        <v>판타지 웹소설 &gt; 무협 소설</v>
      </c>
    </row>
    <row r="2111" spans="1:48" x14ac:dyDescent="0.4">
      <c r="A2111">
        <v>2313009418</v>
      </c>
      <c r="B2111">
        <v>2313009443</v>
      </c>
      <c r="C2111" t="str">
        <f>T("은천검제(2부 화산검제) 26화")</f>
        <v>은천검제(2부 화산검제) 26화</v>
      </c>
      <c r="D2111" t="str">
        <f>T("26")</f>
        <v>26</v>
      </c>
      <c r="E2111" t="str">
        <f t="shared" si="350"/>
        <v>무장</v>
      </c>
      <c r="H2111" t="str">
        <f t="shared" si="349"/>
        <v>스토리위즈</v>
      </c>
      <c r="I2111" t="str">
        <f t="shared" si="351"/>
        <v>은천검제(2부 화산검제)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>
        <v>140</v>
      </c>
      <c r="AV2111" t="str">
        <f t="shared" si="352"/>
        <v>판타지 웹소설 &gt; 무협 소설</v>
      </c>
    </row>
    <row r="2112" spans="1:48" x14ac:dyDescent="0.4">
      <c r="A2112">
        <v>2313009418</v>
      </c>
      <c r="B2112">
        <v>2313009444</v>
      </c>
      <c r="C2112" t="str">
        <f>T("은천검제(2부 화산검제) 27화")</f>
        <v>은천검제(2부 화산검제) 27화</v>
      </c>
      <c r="D2112" t="str">
        <f>T("27")</f>
        <v>27</v>
      </c>
      <c r="E2112" t="str">
        <f t="shared" si="350"/>
        <v>무장</v>
      </c>
      <c r="H2112" t="str">
        <f t="shared" si="349"/>
        <v>스토리위즈</v>
      </c>
      <c r="I2112" t="str">
        <f t="shared" si="351"/>
        <v>은천검제(2부 화산검제)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>
        <v>140</v>
      </c>
      <c r="AV2112" t="str">
        <f t="shared" si="352"/>
        <v>판타지 웹소설 &gt; 무협 소설</v>
      </c>
    </row>
    <row r="2113" spans="1:48" x14ac:dyDescent="0.4">
      <c r="A2113">
        <v>2313009418</v>
      </c>
      <c r="B2113">
        <v>2313009445</v>
      </c>
      <c r="C2113" t="str">
        <f>T("은천검제(2부 화산검제) 28화")</f>
        <v>은천검제(2부 화산검제) 28화</v>
      </c>
      <c r="D2113" t="str">
        <f>T("28")</f>
        <v>28</v>
      </c>
      <c r="E2113" t="str">
        <f t="shared" si="350"/>
        <v>무장</v>
      </c>
      <c r="H2113" t="str">
        <f t="shared" si="349"/>
        <v>스토리위즈</v>
      </c>
      <c r="I2113" t="str">
        <f t="shared" si="351"/>
        <v>은천검제(2부 화산검제)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>
        <v>140</v>
      </c>
      <c r="AV2113" t="str">
        <f t="shared" si="352"/>
        <v>판타지 웹소설 &gt; 무협 소설</v>
      </c>
    </row>
    <row r="2114" spans="1:48" x14ac:dyDescent="0.4">
      <c r="A2114">
        <v>2313009418</v>
      </c>
      <c r="B2114">
        <v>2313009446</v>
      </c>
      <c r="C2114" t="str">
        <f>T("은천검제(2부 화산검제) 29화")</f>
        <v>은천검제(2부 화산검제) 29화</v>
      </c>
      <c r="D2114" t="str">
        <f>T("29")</f>
        <v>29</v>
      </c>
      <c r="E2114" t="str">
        <f t="shared" si="350"/>
        <v>무장</v>
      </c>
      <c r="H2114" t="str">
        <f t="shared" si="349"/>
        <v>스토리위즈</v>
      </c>
      <c r="I2114" t="str">
        <f t="shared" si="351"/>
        <v>은천검제(2부 화산검제)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>
        <v>140</v>
      </c>
      <c r="AV2114" t="str">
        <f t="shared" si="352"/>
        <v>판타지 웹소설 &gt; 무협 소설</v>
      </c>
    </row>
    <row r="2115" spans="1:48" x14ac:dyDescent="0.4">
      <c r="A2115">
        <v>2313009418</v>
      </c>
      <c r="B2115">
        <v>2313009447</v>
      </c>
      <c r="C2115" t="str">
        <f>T("은천검제(2부 화산검제) 30화")</f>
        <v>은천검제(2부 화산검제) 30화</v>
      </c>
      <c r="D2115" t="str">
        <f>T("30")</f>
        <v>30</v>
      </c>
      <c r="E2115" t="str">
        <f t="shared" si="350"/>
        <v>무장</v>
      </c>
      <c r="H2115" t="str">
        <f t="shared" si="349"/>
        <v>스토리위즈</v>
      </c>
      <c r="I2115" t="str">
        <f t="shared" si="351"/>
        <v>은천검제(2부 화산검제)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>
        <v>140</v>
      </c>
      <c r="AV2115" t="str">
        <f t="shared" si="352"/>
        <v>판타지 웹소설 &gt; 무협 소설</v>
      </c>
    </row>
    <row r="2116" spans="1:48" x14ac:dyDescent="0.4">
      <c r="A2116">
        <v>2313009418</v>
      </c>
      <c r="B2116">
        <v>2313009448</v>
      </c>
      <c r="C2116" t="str">
        <f>T("은천검제(2부 화산검제) 31화")</f>
        <v>은천검제(2부 화산검제) 31화</v>
      </c>
      <c r="D2116" t="str">
        <f>T("31")</f>
        <v>31</v>
      </c>
      <c r="E2116" t="str">
        <f t="shared" si="350"/>
        <v>무장</v>
      </c>
      <c r="H2116" t="str">
        <f t="shared" si="349"/>
        <v>스토리위즈</v>
      </c>
      <c r="I2116" t="str">
        <f t="shared" si="351"/>
        <v>은천검제(2부 화산검제)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>
        <v>140</v>
      </c>
      <c r="AV2116" t="str">
        <f t="shared" si="352"/>
        <v>판타지 웹소설 &gt; 무협 소설</v>
      </c>
    </row>
    <row r="2117" spans="1:48" x14ac:dyDescent="0.4">
      <c r="A2117">
        <v>2313009418</v>
      </c>
      <c r="B2117">
        <v>2313009449</v>
      </c>
      <c r="C2117" t="str">
        <f>T("은천검제(2부 화산검제) 32화")</f>
        <v>은천검제(2부 화산검제) 32화</v>
      </c>
      <c r="D2117" t="str">
        <f>T("32")</f>
        <v>32</v>
      </c>
      <c r="E2117" t="str">
        <f t="shared" si="350"/>
        <v>무장</v>
      </c>
      <c r="H2117" t="str">
        <f t="shared" si="349"/>
        <v>스토리위즈</v>
      </c>
      <c r="I2117" t="str">
        <f t="shared" si="351"/>
        <v>은천검제(2부 화산검제)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>
        <v>140</v>
      </c>
      <c r="AV2117" t="str">
        <f t="shared" si="352"/>
        <v>판타지 웹소설 &gt; 무협 소설</v>
      </c>
    </row>
    <row r="2118" spans="1:48" x14ac:dyDescent="0.4">
      <c r="A2118">
        <v>2313009418</v>
      </c>
      <c r="B2118">
        <v>2313009450</v>
      </c>
      <c r="C2118" t="str">
        <f>T("은천검제(2부 화산검제) 33화")</f>
        <v>은천검제(2부 화산검제) 33화</v>
      </c>
      <c r="D2118" t="str">
        <f>T("33")</f>
        <v>33</v>
      </c>
      <c r="E2118" t="str">
        <f t="shared" si="350"/>
        <v>무장</v>
      </c>
      <c r="H2118" t="str">
        <f t="shared" si="349"/>
        <v>스토리위즈</v>
      </c>
      <c r="I2118" t="str">
        <f t="shared" si="351"/>
        <v>은천검제(2부 화산검제)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>
        <v>140</v>
      </c>
      <c r="AV2118" t="str">
        <f t="shared" si="352"/>
        <v>판타지 웹소설 &gt; 무협 소설</v>
      </c>
    </row>
    <row r="2119" spans="1:48" x14ac:dyDescent="0.4">
      <c r="A2119">
        <v>2313009418</v>
      </c>
      <c r="B2119">
        <v>2313009451</v>
      </c>
      <c r="C2119" t="str">
        <f>T("은천검제(2부 화산검제) 34화")</f>
        <v>은천검제(2부 화산검제) 34화</v>
      </c>
      <c r="D2119" t="str">
        <f>T("34")</f>
        <v>34</v>
      </c>
      <c r="E2119" t="str">
        <f t="shared" si="350"/>
        <v>무장</v>
      </c>
      <c r="H2119" t="str">
        <f t="shared" si="349"/>
        <v>스토리위즈</v>
      </c>
      <c r="I2119" t="str">
        <f t="shared" si="351"/>
        <v>은천검제(2부 화산검제)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>
        <v>140</v>
      </c>
      <c r="AV2119" t="str">
        <f t="shared" si="352"/>
        <v>판타지 웹소설 &gt; 무협 소설</v>
      </c>
    </row>
    <row r="2120" spans="1:48" x14ac:dyDescent="0.4">
      <c r="A2120">
        <v>2313009418</v>
      </c>
      <c r="B2120">
        <v>2313009452</v>
      </c>
      <c r="C2120" t="str">
        <f>T("은천검제(2부 화산검제) 35화")</f>
        <v>은천검제(2부 화산검제) 35화</v>
      </c>
      <c r="D2120" t="str">
        <f>T("35")</f>
        <v>35</v>
      </c>
      <c r="E2120" t="str">
        <f t="shared" si="350"/>
        <v>무장</v>
      </c>
      <c r="H2120" t="str">
        <f t="shared" si="349"/>
        <v>스토리위즈</v>
      </c>
      <c r="I2120" t="str">
        <f t="shared" si="351"/>
        <v>은천검제(2부 화산검제)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>
        <v>140</v>
      </c>
      <c r="AV2120" t="str">
        <f t="shared" si="352"/>
        <v>판타지 웹소설 &gt; 무협 소설</v>
      </c>
    </row>
    <row r="2121" spans="1:48" x14ac:dyDescent="0.4">
      <c r="A2121">
        <v>2313009418</v>
      </c>
      <c r="B2121">
        <v>2313009453</v>
      </c>
      <c r="C2121" t="str">
        <f>T("은천검제(2부 화산검제) 36화")</f>
        <v>은천검제(2부 화산검제) 36화</v>
      </c>
      <c r="D2121" t="str">
        <f>T("36")</f>
        <v>36</v>
      </c>
      <c r="E2121" t="str">
        <f t="shared" si="350"/>
        <v>무장</v>
      </c>
      <c r="H2121" t="str">
        <f t="shared" si="349"/>
        <v>스토리위즈</v>
      </c>
      <c r="I2121" t="str">
        <f t="shared" si="351"/>
        <v>은천검제(2부 화산검제)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>
        <v>140</v>
      </c>
      <c r="AV2121" t="str">
        <f t="shared" si="352"/>
        <v>판타지 웹소설 &gt; 무협 소설</v>
      </c>
    </row>
    <row r="2122" spans="1:48" x14ac:dyDescent="0.4">
      <c r="A2122">
        <v>2313009418</v>
      </c>
      <c r="B2122">
        <v>2313009454</v>
      </c>
      <c r="C2122" t="str">
        <f>T("은천검제(2부 화산검제) 37화")</f>
        <v>은천검제(2부 화산검제) 37화</v>
      </c>
      <c r="D2122" t="str">
        <f>T("37")</f>
        <v>37</v>
      </c>
      <c r="E2122" t="str">
        <f t="shared" si="350"/>
        <v>무장</v>
      </c>
      <c r="H2122" t="str">
        <f t="shared" si="349"/>
        <v>스토리위즈</v>
      </c>
      <c r="I2122" t="str">
        <f t="shared" si="351"/>
        <v>은천검제(2부 화산검제)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>
        <v>140</v>
      </c>
      <c r="AV2122" t="str">
        <f t="shared" si="352"/>
        <v>판타지 웹소설 &gt; 무협 소설</v>
      </c>
    </row>
    <row r="2123" spans="1:48" x14ac:dyDescent="0.4">
      <c r="A2123">
        <v>2313009418</v>
      </c>
      <c r="B2123">
        <v>2313009455</v>
      </c>
      <c r="C2123" t="str">
        <f>T("은천검제(2부 화산검제) 38화")</f>
        <v>은천검제(2부 화산검제) 38화</v>
      </c>
      <c r="D2123" t="str">
        <f>T("38")</f>
        <v>38</v>
      </c>
      <c r="E2123" t="str">
        <f t="shared" si="350"/>
        <v>무장</v>
      </c>
      <c r="H2123" t="str">
        <f t="shared" si="349"/>
        <v>스토리위즈</v>
      </c>
      <c r="I2123" t="str">
        <f t="shared" si="351"/>
        <v>은천검제(2부 화산검제)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>
        <v>140</v>
      </c>
      <c r="AV2123" t="str">
        <f t="shared" si="352"/>
        <v>판타지 웹소설 &gt; 무협 소설</v>
      </c>
    </row>
    <row r="2124" spans="1:48" x14ac:dyDescent="0.4">
      <c r="A2124">
        <v>2313009418</v>
      </c>
      <c r="B2124">
        <v>2313009456</v>
      </c>
      <c r="C2124" t="str">
        <f>T("은천검제(2부 화산검제) 39화")</f>
        <v>은천검제(2부 화산검제) 39화</v>
      </c>
      <c r="D2124" t="str">
        <f>T("39")</f>
        <v>39</v>
      </c>
      <c r="E2124" t="str">
        <f t="shared" si="350"/>
        <v>무장</v>
      </c>
      <c r="H2124" t="str">
        <f t="shared" si="349"/>
        <v>스토리위즈</v>
      </c>
      <c r="I2124" t="str">
        <f t="shared" si="351"/>
        <v>은천검제(2부 화산검제)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>
        <v>140</v>
      </c>
      <c r="AV2124" t="str">
        <f t="shared" si="352"/>
        <v>판타지 웹소설 &gt; 무협 소설</v>
      </c>
    </row>
    <row r="2125" spans="1:48" x14ac:dyDescent="0.4">
      <c r="A2125">
        <v>2313009418</v>
      </c>
      <c r="B2125">
        <v>2313009457</v>
      </c>
      <c r="C2125" t="str">
        <f>T("은천검제(2부 화산검제) 40화")</f>
        <v>은천검제(2부 화산검제) 40화</v>
      </c>
      <c r="D2125" t="str">
        <f>T("40")</f>
        <v>40</v>
      </c>
      <c r="E2125" t="str">
        <f t="shared" si="350"/>
        <v>무장</v>
      </c>
      <c r="H2125" t="str">
        <f t="shared" si="349"/>
        <v>스토리위즈</v>
      </c>
      <c r="I2125" t="str">
        <f t="shared" si="351"/>
        <v>은천검제(2부 화산검제)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>
        <v>140</v>
      </c>
      <c r="AV2125" t="str">
        <f t="shared" si="352"/>
        <v>판타지 웹소설 &gt; 무협 소설</v>
      </c>
    </row>
    <row r="2126" spans="1:48" x14ac:dyDescent="0.4">
      <c r="A2126">
        <v>2313009418</v>
      </c>
      <c r="B2126">
        <v>2313009458</v>
      </c>
      <c r="C2126" t="str">
        <f>T("은천검제(2부 화산검제) 41화")</f>
        <v>은천검제(2부 화산검제) 41화</v>
      </c>
      <c r="D2126" t="str">
        <f>T("41")</f>
        <v>41</v>
      </c>
      <c r="E2126" t="str">
        <f t="shared" si="350"/>
        <v>무장</v>
      </c>
      <c r="H2126" t="str">
        <f t="shared" si="349"/>
        <v>스토리위즈</v>
      </c>
      <c r="I2126" t="str">
        <f t="shared" si="351"/>
        <v>은천검제(2부 화산검제)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>
        <v>140</v>
      </c>
      <c r="AV2126" t="str">
        <f t="shared" si="352"/>
        <v>판타지 웹소설 &gt; 무협 소설</v>
      </c>
    </row>
    <row r="2127" spans="1:48" x14ac:dyDescent="0.4">
      <c r="A2127">
        <v>2313009418</v>
      </c>
      <c r="B2127">
        <v>2313009459</v>
      </c>
      <c r="C2127" t="str">
        <f>T("은천검제(2부 화산검제) 42화")</f>
        <v>은천검제(2부 화산검제) 42화</v>
      </c>
      <c r="D2127" t="str">
        <f>T("42")</f>
        <v>42</v>
      </c>
      <c r="E2127" t="str">
        <f t="shared" si="350"/>
        <v>무장</v>
      </c>
      <c r="H2127" t="str">
        <f t="shared" si="349"/>
        <v>스토리위즈</v>
      </c>
      <c r="I2127" t="str">
        <f t="shared" si="351"/>
        <v>은천검제(2부 화산검제)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>
        <v>140</v>
      </c>
      <c r="AV2127" t="str">
        <f t="shared" si="352"/>
        <v>판타지 웹소설 &gt; 무협 소설</v>
      </c>
    </row>
    <row r="2128" spans="1:48" x14ac:dyDescent="0.4">
      <c r="A2128">
        <v>2313009418</v>
      </c>
      <c r="B2128">
        <v>2313009460</v>
      </c>
      <c r="C2128" t="str">
        <f>T("은천검제(2부 화산검제) 43화")</f>
        <v>은천검제(2부 화산검제) 43화</v>
      </c>
      <c r="D2128" t="str">
        <f>T("43")</f>
        <v>43</v>
      </c>
      <c r="E2128" t="str">
        <f t="shared" si="350"/>
        <v>무장</v>
      </c>
      <c r="H2128" t="str">
        <f t="shared" si="349"/>
        <v>스토리위즈</v>
      </c>
      <c r="I2128" t="str">
        <f t="shared" si="351"/>
        <v>은천검제(2부 화산검제)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>
        <v>140</v>
      </c>
      <c r="AV2128" t="str">
        <f t="shared" si="352"/>
        <v>판타지 웹소설 &gt; 무협 소설</v>
      </c>
    </row>
    <row r="2129" spans="1:48" x14ac:dyDescent="0.4">
      <c r="A2129">
        <v>2313009418</v>
      </c>
      <c r="B2129">
        <v>2313009461</v>
      </c>
      <c r="C2129" t="str">
        <f>T("은천검제(2부 화산검제) 44화")</f>
        <v>은천검제(2부 화산검제) 44화</v>
      </c>
      <c r="D2129" t="str">
        <f>T("44")</f>
        <v>44</v>
      </c>
      <c r="E2129" t="str">
        <f t="shared" si="350"/>
        <v>무장</v>
      </c>
      <c r="H2129" t="str">
        <f t="shared" si="349"/>
        <v>스토리위즈</v>
      </c>
      <c r="I2129" t="str">
        <f t="shared" si="351"/>
        <v>은천검제(2부 화산검제)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>
        <v>140</v>
      </c>
      <c r="AV2129" t="str">
        <f t="shared" si="352"/>
        <v>판타지 웹소설 &gt; 무협 소설</v>
      </c>
    </row>
    <row r="2130" spans="1:48" x14ac:dyDescent="0.4">
      <c r="A2130">
        <v>2313009418</v>
      </c>
      <c r="B2130">
        <v>2313009462</v>
      </c>
      <c r="C2130" t="str">
        <f>T("은천검제(2부 화산검제) 45화")</f>
        <v>은천검제(2부 화산검제) 45화</v>
      </c>
      <c r="D2130" t="str">
        <f>T("45")</f>
        <v>45</v>
      </c>
      <c r="E2130" t="str">
        <f t="shared" si="350"/>
        <v>무장</v>
      </c>
      <c r="H2130" t="str">
        <f t="shared" si="349"/>
        <v>스토리위즈</v>
      </c>
      <c r="I2130" t="str">
        <f t="shared" si="351"/>
        <v>은천검제(2부 화산검제)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>
        <v>140</v>
      </c>
      <c r="AV2130" t="str">
        <f t="shared" si="352"/>
        <v>판타지 웹소설 &gt; 무협 소설</v>
      </c>
    </row>
    <row r="2131" spans="1:48" x14ac:dyDescent="0.4">
      <c r="A2131">
        <v>2313009418</v>
      </c>
      <c r="B2131">
        <v>2313009463</v>
      </c>
      <c r="C2131" t="str">
        <f>T("은천검제(2부 화산검제) 46화")</f>
        <v>은천검제(2부 화산검제) 46화</v>
      </c>
      <c r="D2131" t="str">
        <f>T("46")</f>
        <v>46</v>
      </c>
      <c r="E2131" t="str">
        <f t="shared" si="350"/>
        <v>무장</v>
      </c>
      <c r="H2131" t="str">
        <f t="shared" si="349"/>
        <v>스토리위즈</v>
      </c>
      <c r="I2131" t="str">
        <f t="shared" si="351"/>
        <v>은천검제(2부 화산검제)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>
        <v>140</v>
      </c>
      <c r="AV2131" t="str">
        <f t="shared" si="352"/>
        <v>판타지 웹소설 &gt; 무협 소설</v>
      </c>
    </row>
    <row r="2132" spans="1:48" x14ac:dyDescent="0.4">
      <c r="A2132">
        <v>2313009418</v>
      </c>
      <c r="B2132">
        <v>2313009464</v>
      </c>
      <c r="C2132" t="str">
        <f>T("은천검제(2부 화산검제) 47화")</f>
        <v>은천검제(2부 화산검제) 47화</v>
      </c>
      <c r="D2132" t="str">
        <f>T("47")</f>
        <v>47</v>
      </c>
      <c r="E2132" t="str">
        <f t="shared" si="350"/>
        <v>무장</v>
      </c>
      <c r="H2132" t="str">
        <f t="shared" si="349"/>
        <v>스토리위즈</v>
      </c>
      <c r="I2132" t="str">
        <f t="shared" si="351"/>
        <v>은천검제(2부 화산검제)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>
        <v>140</v>
      </c>
      <c r="AV2132" t="str">
        <f t="shared" si="352"/>
        <v>판타지 웹소설 &gt; 무협 소설</v>
      </c>
    </row>
    <row r="2133" spans="1:48" x14ac:dyDescent="0.4">
      <c r="A2133">
        <v>2313009418</v>
      </c>
      <c r="B2133">
        <v>2313009465</v>
      </c>
      <c r="C2133" t="str">
        <f>T("은천검제(2부 화산검제) 48화")</f>
        <v>은천검제(2부 화산검제) 48화</v>
      </c>
      <c r="D2133" t="str">
        <f>T("48")</f>
        <v>48</v>
      </c>
      <c r="E2133" t="str">
        <f t="shared" si="350"/>
        <v>무장</v>
      </c>
      <c r="H2133" t="str">
        <f t="shared" si="349"/>
        <v>스토리위즈</v>
      </c>
      <c r="I2133" t="str">
        <f t="shared" si="351"/>
        <v>은천검제(2부 화산검제)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>
        <v>140</v>
      </c>
      <c r="AV2133" t="str">
        <f t="shared" si="352"/>
        <v>판타지 웹소설 &gt; 무협 소설</v>
      </c>
    </row>
    <row r="2134" spans="1:48" x14ac:dyDescent="0.4">
      <c r="A2134">
        <v>2313009418</v>
      </c>
      <c r="B2134">
        <v>2313009466</v>
      </c>
      <c r="C2134" t="str">
        <f>T("은천검제(2부 화산검제) 49화")</f>
        <v>은천검제(2부 화산검제) 49화</v>
      </c>
      <c r="D2134" t="str">
        <f>T("49")</f>
        <v>49</v>
      </c>
      <c r="E2134" t="str">
        <f t="shared" si="350"/>
        <v>무장</v>
      </c>
      <c r="H2134" t="str">
        <f t="shared" si="349"/>
        <v>스토리위즈</v>
      </c>
      <c r="I2134" t="str">
        <f t="shared" si="351"/>
        <v>은천검제(2부 화산검제)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>
        <v>140</v>
      </c>
      <c r="AV2134" t="str">
        <f t="shared" si="352"/>
        <v>판타지 웹소설 &gt; 무협 소설</v>
      </c>
    </row>
    <row r="2135" spans="1:48" x14ac:dyDescent="0.4">
      <c r="A2135">
        <v>2313009418</v>
      </c>
      <c r="B2135">
        <v>2313009467</v>
      </c>
      <c r="C2135" t="str">
        <f>T("은천검제(2부 화산검제) 50화")</f>
        <v>은천검제(2부 화산검제) 50화</v>
      </c>
      <c r="D2135" t="str">
        <f>T("50")</f>
        <v>50</v>
      </c>
      <c r="E2135" t="str">
        <f t="shared" si="350"/>
        <v>무장</v>
      </c>
      <c r="H2135" t="str">
        <f t="shared" si="349"/>
        <v>스토리위즈</v>
      </c>
      <c r="I2135" t="str">
        <f t="shared" si="351"/>
        <v>은천검제(2부 화산검제)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>
        <v>140</v>
      </c>
      <c r="AV2135" t="str">
        <f t="shared" si="352"/>
        <v>판타지 웹소설 &gt; 무협 소설</v>
      </c>
    </row>
    <row r="2136" spans="1:48" x14ac:dyDescent="0.4">
      <c r="A2136">
        <v>2313009418</v>
      </c>
      <c r="B2136">
        <v>2313009468</v>
      </c>
      <c r="C2136" t="str">
        <f>T("은천검제(2부 화산검제) 51화")</f>
        <v>은천검제(2부 화산검제) 51화</v>
      </c>
      <c r="D2136" t="str">
        <f>T("51")</f>
        <v>51</v>
      </c>
      <c r="E2136" t="str">
        <f t="shared" si="350"/>
        <v>무장</v>
      </c>
      <c r="H2136" t="str">
        <f t="shared" si="349"/>
        <v>스토리위즈</v>
      </c>
      <c r="I2136" t="str">
        <f t="shared" si="351"/>
        <v>은천검제(2부 화산검제)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>
        <v>140</v>
      </c>
      <c r="AV2136" t="str">
        <f t="shared" si="352"/>
        <v>판타지 웹소설 &gt; 무협 소설</v>
      </c>
    </row>
    <row r="2137" spans="1:48" x14ac:dyDescent="0.4">
      <c r="A2137">
        <v>2313009418</v>
      </c>
      <c r="B2137">
        <v>2313009469</v>
      </c>
      <c r="C2137" t="str">
        <f>T("은천검제(2부 화산검제) 52화")</f>
        <v>은천검제(2부 화산검제) 52화</v>
      </c>
      <c r="D2137" t="str">
        <f>T("52")</f>
        <v>52</v>
      </c>
      <c r="E2137" t="str">
        <f t="shared" si="350"/>
        <v>무장</v>
      </c>
      <c r="H2137" t="str">
        <f t="shared" si="349"/>
        <v>스토리위즈</v>
      </c>
      <c r="I2137" t="str">
        <f t="shared" si="351"/>
        <v>은천검제(2부 화산검제)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>
        <v>140</v>
      </c>
      <c r="AV2137" t="str">
        <f t="shared" si="352"/>
        <v>판타지 웹소설 &gt; 무협 소설</v>
      </c>
    </row>
    <row r="2138" spans="1:48" x14ac:dyDescent="0.4">
      <c r="A2138">
        <v>2313009418</v>
      </c>
      <c r="B2138">
        <v>2313009470</v>
      </c>
      <c r="C2138" t="str">
        <f>T("은천검제(2부 화산검제) 53화")</f>
        <v>은천검제(2부 화산검제) 53화</v>
      </c>
      <c r="D2138" t="str">
        <f>T("53")</f>
        <v>53</v>
      </c>
      <c r="E2138" t="str">
        <f t="shared" si="350"/>
        <v>무장</v>
      </c>
      <c r="H2138" t="str">
        <f t="shared" si="349"/>
        <v>스토리위즈</v>
      </c>
      <c r="I2138" t="str">
        <f t="shared" si="351"/>
        <v>은천검제(2부 화산검제)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>
        <v>140</v>
      </c>
      <c r="AV2138" t="str">
        <f t="shared" si="352"/>
        <v>판타지 웹소설 &gt; 무협 소설</v>
      </c>
    </row>
    <row r="2139" spans="1:48" x14ac:dyDescent="0.4">
      <c r="A2139">
        <v>2313009418</v>
      </c>
      <c r="B2139">
        <v>2313009471</v>
      </c>
      <c r="C2139" t="str">
        <f>T("은천검제(2부 화산검제) 54화")</f>
        <v>은천검제(2부 화산검제) 54화</v>
      </c>
      <c r="D2139" t="str">
        <f>T("54")</f>
        <v>54</v>
      </c>
      <c r="E2139" t="str">
        <f t="shared" si="350"/>
        <v>무장</v>
      </c>
      <c r="H2139" t="str">
        <f t="shared" si="349"/>
        <v>스토리위즈</v>
      </c>
      <c r="I2139" t="str">
        <f t="shared" si="351"/>
        <v>은천검제(2부 화산검제)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>
        <v>140</v>
      </c>
      <c r="AV2139" t="str">
        <f t="shared" si="352"/>
        <v>판타지 웹소설 &gt; 무협 소설</v>
      </c>
    </row>
    <row r="2140" spans="1:48" x14ac:dyDescent="0.4">
      <c r="A2140">
        <v>2313009418</v>
      </c>
      <c r="B2140">
        <v>2313009472</v>
      </c>
      <c r="C2140" t="str">
        <f>T("은천검제(2부 화산검제) 55화")</f>
        <v>은천검제(2부 화산검제) 55화</v>
      </c>
      <c r="D2140" t="str">
        <f>T("55")</f>
        <v>55</v>
      </c>
      <c r="E2140" t="str">
        <f t="shared" si="350"/>
        <v>무장</v>
      </c>
      <c r="H2140" t="str">
        <f t="shared" si="349"/>
        <v>스토리위즈</v>
      </c>
      <c r="I2140" t="str">
        <f t="shared" si="351"/>
        <v>은천검제(2부 화산검제)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>
        <v>140</v>
      </c>
      <c r="AV2140" t="str">
        <f t="shared" si="352"/>
        <v>판타지 웹소설 &gt; 무협 소설</v>
      </c>
    </row>
    <row r="2141" spans="1:48" x14ac:dyDescent="0.4">
      <c r="A2141">
        <v>2313009418</v>
      </c>
      <c r="B2141">
        <v>2313009473</v>
      </c>
      <c r="C2141" t="str">
        <f>T("은천검제(2부 화산검제) 56화")</f>
        <v>은천검제(2부 화산검제) 56화</v>
      </c>
      <c r="D2141" t="str">
        <f>T("56")</f>
        <v>56</v>
      </c>
      <c r="E2141" t="str">
        <f t="shared" si="350"/>
        <v>무장</v>
      </c>
      <c r="H2141" t="str">
        <f t="shared" si="349"/>
        <v>스토리위즈</v>
      </c>
      <c r="I2141" t="str">
        <f t="shared" si="351"/>
        <v>은천검제(2부 화산검제)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200</v>
      </c>
      <c r="AL2141">
        <v>0</v>
      </c>
      <c r="AM2141">
        <v>0</v>
      </c>
      <c r="AN2141">
        <v>0</v>
      </c>
      <c r="AO2141">
        <v>0</v>
      </c>
      <c r="AP2141">
        <v>140</v>
      </c>
      <c r="AV2141" t="str">
        <f t="shared" si="352"/>
        <v>판타지 웹소설 &gt; 무협 소설</v>
      </c>
    </row>
    <row r="2142" spans="1:48" x14ac:dyDescent="0.4">
      <c r="A2142">
        <v>2313009418</v>
      </c>
      <c r="B2142">
        <v>2313009474</v>
      </c>
      <c r="C2142" t="str">
        <f>T("은천검제(2부 화산검제) 57화")</f>
        <v>은천검제(2부 화산검제) 57화</v>
      </c>
      <c r="D2142" t="str">
        <f>T("57")</f>
        <v>57</v>
      </c>
      <c r="E2142" t="str">
        <f t="shared" si="350"/>
        <v>무장</v>
      </c>
      <c r="H2142" t="str">
        <f t="shared" si="349"/>
        <v>스토리위즈</v>
      </c>
      <c r="I2142" t="str">
        <f t="shared" si="351"/>
        <v>은천검제(2부 화산검제)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200</v>
      </c>
      <c r="AL2142">
        <v>0</v>
      </c>
      <c r="AM2142">
        <v>0</v>
      </c>
      <c r="AN2142">
        <v>0</v>
      </c>
      <c r="AO2142">
        <v>0</v>
      </c>
      <c r="AP2142">
        <v>140</v>
      </c>
      <c r="AV2142" t="str">
        <f t="shared" si="352"/>
        <v>판타지 웹소설 &gt; 무협 소설</v>
      </c>
    </row>
    <row r="2143" spans="1:48" x14ac:dyDescent="0.4">
      <c r="A2143">
        <v>2313009418</v>
      </c>
      <c r="B2143">
        <v>2313009475</v>
      </c>
      <c r="C2143" t="str">
        <f>T("은천검제(2부 화산검제) 58화")</f>
        <v>은천검제(2부 화산검제) 58화</v>
      </c>
      <c r="D2143" t="str">
        <f>T("58")</f>
        <v>58</v>
      </c>
      <c r="E2143" t="str">
        <f t="shared" si="350"/>
        <v>무장</v>
      </c>
      <c r="H2143" t="str">
        <f t="shared" si="349"/>
        <v>스토리위즈</v>
      </c>
      <c r="I2143" t="str">
        <f t="shared" si="351"/>
        <v>은천검제(2부 화산검제)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200</v>
      </c>
      <c r="AL2143">
        <v>0</v>
      </c>
      <c r="AM2143">
        <v>0</v>
      </c>
      <c r="AN2143">
        <v>0</v>
      </c>
      <c r="AO2143">
        <v>0</v>
      </c>
      <c r="AP2143">
        <v>140</v>
      </c>
      <c r="AV2143" t="str">
        <f t="shared" si="352"/>
        <v>판타지 웹소설 &gt; 무협 소설</v>
      </c>
    </row>
    <row r="2144" spans="1:48" x14ac:dyDescent="0.4">
      <c r="A2144">
        <v>2313009418</v>
      </c>
      <c r="B2144">
        <v>2313009476</v>
      </c>
      <c r="C2144" t="str">
        <f>T("은천검제(2부 화산검제) 59화")</f>
        <v>은천검제(2부 화산검제) 59화</v>
      </c>
      <c r="D2144" t="str">
        <f>T("59")</f>
        <v>59</v>
      </c>
      <c r="E2144" t="str">
        <f t="shared" si="350"/>
        <v>무장</v>
      </c>
      <c r="H2144" t="str">
        <f t="shared" si="349"/>
        <v>스토리위즈</v>
      </c>
      <c r="I2144" t="str">
        <f t="shared" si="351"/>
        <v>은천검제(2부 화산검제)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200</v>
      </c>
      <c r="AL2144">
        <v>0</v>
      </c>
      <c r="AM2144">
        <v>0</v>
      </c>
      <c r="AN2144">
        <v>0</v>
      </c>
      <c r="AO2144">
        <v>0</v>
      </c>
      <c r="AP2144">
        <v>140</v>
      </c>
      <c r="AV2144" t="str">
        <f t="shared" si="352"/>
        <v>판타지 웹소설 &gt; 무협 소설</v>
      </c>
    </row>
    <row r="2145" spans="1:48" x14ac:dyDescent="0.4">
      <c r="A2145">
        <v>2313009418</v>
      </c>
      <c r="B2145">
        <v>2313009477</v>
      </c>
      <c r="C2145" t="str">
        <f>T("은천검제(2부 화산검제) 60화")</f>
        <v>은천검제(2부 화산검제) 60화</v>
      </c>
      <c r="D2145" t="str">
        <f>T("60")</f>
        <v>60</v>
      </c>
      <c r="E2145" t="str">
        <f t="shared" si="350"/>
        <v>무장</v>
      </c>
      <c r="H2145" t="str">
        <f t="shared" si="349"/>
        <v>스토리위즈</v>
      </c>
      <c r="I2145" t="str">
        <f t="shared" si="351"/>
        <v>은천검제(2부 화산검제)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200</v>
      </c>
      <c r="AL2145">
        <v>0</v>
      </c>
      <c r="AM2145">
        <v>0</v>
      </c>
      <c r="AN2145">
        <v>0</v>
      </c>
      <c r="AO2145">
        <v>0</v>
      </c>
      <c r="AP2145">
        <v>140</v>
      </c>
      <c r="AV2145" t="str">
        <f t="shared" si="352"/>
        <v>판타지 웹소설 &gt; 무협 소설</v>
      </c>
    </row>
    <row r="2146" spans="1:48" x14ac:dyDescent="0.4">
      <c r="A2146">
        <v>2313009418</v>
      </c>
      <c r="B2146">
        <v>2313009478</v>
      </c>
      <c r="C2146" t="str">
        <f>T("은천검제(2부 화산검제) 61화")</f>
        <v>은천검제(2부 화산검제) 61화</v>
      </c>
      <c r="D2146" t="str">
        <f>T("61")</f>
        <v>61</v>
      </c>
      <c r="E2146" t="str">
        <f t="shared" si="350"/>
        <v>무장</v>
      </c>
      <c r="H2146" t="str">
        <f t="shared" si="349"/>
        <v>스토리위즈</v>
      </c>
      <c r="I2146" t="str">
        <f t="shared" si="351"/>
        <v>은천검제(2부 화산검제)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200</v>
      </c>
      <c r="AL2146">
        <v>0</v>
      </c>
      <c r="AM2146">
        <v>0</v>
      </c>
      <c r="AN2146">
        <v>0</v>
      </c>
      <c r="AO2146">
        <v>0</v>
      </c>
      <c r="AP2146">
        <v>140</v>
      </c>
      <c r="AV2146" t="str">
        <f t="shared" si="352"/>
        <v>판타지 웹소설 &gt; 무협 소설</v>
      </c>
    </row>
    <row r="2147" spans="1:48" x14ac:dyDescent="0.4">
      <c r="A2147">
        <v>2313009418</v>
      </c>
      <c r="B2147">
        <v>2313009479</v>
      </c>
      <c r="C2147" t="str">
        <f>T("은천검제(2부 화산검제) 62화")</f>
        <v>은천검제(2부 화산검제) 62화</v>
      </c>
      <c r="D2147" t="str">
        <f>T("62")</f>
        <v>62</v>
      </c>
      <c r="E2147" t="str">
        <f t="shared" si="350"/>
        <v>무장</v>
      </c>
      <c r="H2147" t="str">
        <f t="shared" ref="H2147:H2210" si="353">T("스토리위즈")</f>
        <v>스토리위즈</v>
      </c>
      <c r="I2147" t="str">
        <f t="shared" si="351"/>
        <v>은천검제(2부 화산검제)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200</v>
      </c>
      <c r="AL2147">
        <v>0</v>
      </c>
      <c r="AM2147">
        <v>0</v>
      </c>
      <c r="AN2147">
        <v>0</v>
      </c>
      <c r="AO2147">
        <v>0</v>
      </c>
      <c r="AP2147">
        <v>140</v>
      </c>
      <c r="AV2147" t="str">
        <f t="shared" si="352"/>
        <v>판타지 웹소설 &gt; 무협 소설</v>
      </c>
    </row>
    <row r="2148" spans="1:48" x14ac:dyDescent="0.4">
      <c r="A2148">
        <v>2313009418</v>
      </c>
      <c r="B2148">
        <v>2313009480</v>
      </c>
      <c r="C2148" t="str">
        <f>T("은천검제(2부 화산검제) 63화")</f>
        <v>은천검제(2부 화산검제) 63화</v>
      </c>
      <c r="D2148" t="str">
        <f>T("63")</f>
        <v>63</v>
      </c>
      <c r="E2148" t="str">
        <f t="shared" si="350"/>
        <v>무장</v>
      </c>
      <c r="H2148" t="str">
        <f t="shared" si="353"/>
        <v>스토리위즈</v>
      </c>
      <c r="I2148" t="str">
        <f t="shared" si="351"/>
        <v>은천검제(2부 화산검제)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200</v>
      </c>
      <c r="AL2148">
        <v>0</v>
      </c>
      <c r="AM2148">
        <v>0</v>
      </c>
      <c r="AN2148">
        <v>0</v>
      </c>
      <c r="AO2148">
        <v>0</v>
      </c>
      <c r="AP2148">
        <v>140</v>
      </c>
      <c r="AV2148" t="str">
        <f t="shared" si="352"/>
        <v>판타지 웹소설 &gt; 무협 소설</v>
      </c>
    </row>
    <row r="2149" spans="1:48" x14ac:dyDescent="0.4">
      <c r="A2149">
        <v>2313009418</v>
      </c>
      <c r="B2149">
        <v>2313009481</v>
      </c>
      <c r="C2149" t="str">
        <f>T("은천검제(2부 화산검제) 64화")</f>
        <v>은천검제(2부 화산검제) 64화</v>
      </c>
      <c r="D2149" t="str">
        <f>T("64")</f>
        <v>64</v>
      </c>
      <c r="E2149" t="str">
        <f t="shared" si="350"/>
        <v>무장</v>
      </c>
      <c r="H2149" t="str">
        <f t="shared" si="353"/>
        <v>스토리위즈</v>
      </c>
      <c r="I2149" t="str">
        <f t="shared" si="351"/>
        <v>은천검제(2부 화산검제)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200</v>
      </c>
      <c r="AL2149">
        <v>0</v>
      </c>
      <c r="AM2149">
        <v>0</v>
      </c>
      <c r="AN2149">
        <v>0</v>
      </c>
      <c r="AO2149">
        <v>0</v>
      </c>
      <c r="AP2149">
        <v>140</v>
      </c>
      <c r="AV2149" t="str">
        <f t="shared" si="352"/>
        <v>판타지 웹소설 &gt; 무협 소설</v>
      </c>
    </row>
    <row r="2150" spans="1:48" x14ac:dyDescent="0.4">
      <c r="A2150">
        <v>2313009418</v>
      </c>
      <c r="B2150">
        <v>2313009482</v>
      </c>
      <c r="C2150" t="str">
        <f>T("은천검제(2부 화산검제) 65화")</f>
        <v>은천검제(2부 화산검제) 65화</v>
      </c>
      <c r="D2150" t="str">
        <f>T("65")</f>
        <v>65</v>
      </c>
      <c r="E2150" t="str">
        <f t="shared" si="350"/>
        <v>무장</v>
      </c>
      <c r="H2150" t="str">
        <f t="shared" si="353"/>
        <v>스토리위즈</v>
      </c>
      <c r="I2150" t="str">
        <f t="shared" si="351"/>
        <v>은천검제(2부 화산검제)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200</v>
      </c>
      <c r="AL2150">
        <v>0</v>
      </c>
      <c r="AM2150">
        <v>0</v>
      </c>
      <c r="AN2150">
        <v>0</v>
      </c>
      <c r="AO2150">
        <v>0</v>
      </c>
      <c r="AP2150">
        <v>140</v>
      </c>
      <c r="AV2150" t="str">
        <f t="shared" si="352"/>
        <v>판타지 웹소설 &gt; 무협 소설</v>
      </c>
    </row>
    <row r="2151" spans="1:48" x14ac:dyDescent="0.4">
      <c r="A2151">
        <v>2313009418</v>
      </c>
      <c r="B2151">
        <v>2313009483</v>
      </c>
      <c r="C2151" t="str">
        <f>T("은천검제(2부 화산검제) 66화")</f>
        <v>은천검제(2부 화산검제) 66화</v>
      </c>
      <c r="D2151" t="str">
        <f>T("66")</f>
        <v>66</v>
      </c>
      <c r="E2151" t="str">
        <f t="shared" si="350"/>
        <v>무장</v>
      </c>
      <c r="H2151" t="str">
        <f t="shared" si="353"/>
        <v>스토리위즈</v>
      </c>
      <c r="I2151" t="str">
        <f t="shared" si="351"/>
        <v>은천검제(2부 화산검제)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200</v>
      </c>
      <c r="AL2151">
        <v>0</v>
      </c>
      <c r="AM2151">
        <v>0</v>
      </c>
      <c r="AN2151">
        <v>0</v>
      </c>
      <c r="AO2151">
        <v>0</v>
      </c>
      <c r="AP2151">
        <v>140</v>
      </c>
      <c r="AV2151" t="str">
        <f t="shared" si="352"/>
        <v>판타지 웹소설 &gt; 무협 소설</v>
      </c>
    </row>
    <row r="2152" spans="1:48" x14ac:dyDescent="0.4">
      <c r="A2152">
        <v>2313009418</v>
      </c>
      <c r="B2152">
        <v>2313009484</v>
      </c>
      <c r="C2152" t="str">
        <f>T("은천검제(2부 화산검제) 67화")</f>
        <v>은천검제(2부 화산검제) 67화</v>
      </c>
      <c r="D2152" t="str">
        <f>T("67")</f>
        <v>67</v>
      </c>
      <c r="E2152" t="str">
        <f t="shared" si="350"/>
        <v>무장</v>
      </c>
      <c r="H2152" t="str">
        <f t="shared" si="353"/>
        <v>스토리위즈</v>
      </c>
      <c r="I2152" t="str">
        <f t="shared" si="351"/>
        <v>은천검제(2부 화산검제)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200</v>
      </c>
      <c r="AL2152">
        <v>0</v>
      </c>
      <c r="AM2152">
        <v>0</v>
      </c>
      <c r="AN2152">
        <v>0</v>
      </c>
      <c r="AO2152">
        <v>0</v>
      </c>
      <c r="AP2152">
        <v>140</v>
      </c>
      <c r="AV2152" t="str">
        <f t="shared" si="352"/>
        <v>판타지 웹소설 &gt; 무협 소설</v>
      </c>
    </row>
    <row r="2153" spans="1:48" x14ac:dyDescent="0.4">
      <c r="A2153">
        <v>2313009418</v>
      </c>
      <c r="B2153">
        <v>2313009485</v>
      </c>
      <c r="C2153" t="str">
        <f>T("은천검제(2부 화산검제) 68화")</f>
        <v>은천검제(2부 화산검제) 68화</v>
      </c>
      <c r="D2153" t="str">
        <f>T("68")</f>
        <v>68</v>
      </c>
      <c r="E2153" t="str">
        <f t="shared" si="350"/>
        <v>무장</v>
      </c>
      <c r="H2153" t="str">
        <f t="shared" si="353"/>
        <v>스토리위즈</v>
      </c>
      <c r="I2153" t="str">
        <f t="shared" si="351"/>
        <v>은천검제(2부 화산검제)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200</v>
      </c>
      <c r="AL2153">
        <v>0</v>
      </c>
      <c r="AM2153">
        <v>0</v>
      </c>
      <c r="AN2153">
        <v>0</v>
      </c>
      <c r="AO2153">
        <v>0</v>
      </c>
      <c r="AP2153">
        <v>140</v>
      </c>
      <c r="AV2153" t="str">
        <f t="shared" si="352"/>
        <v>판타지 웹소설 &gt; 무협 소설</v>
      </c>
    </row>
    <row r="2154" spans="1:48" x14ac:dyDescent="0.4">
      <c r="A2154">
        <v>2313009418</v>
      </c>
      <c r="B2154">
        <v>2313009486</v>
      </c>
      <c r="C2154" t="str">
        <f>T("은천검제(2부 화산검제) 69화")</f>
        <v>은천검제(2부 화산검제) 69화</v>
      </c>
      <c r="D2154" t="str">
        <f>T("69")</f>
        <v>69</v>
      </c>
      <c r="E2154" t="str">
        <f t="shared" si="350"/>
        <v>무장</v>
      </c>
      <c r="H2154" t="str">
        <f t="shared" si="353"/>
        <v>스토리위즈</v>
      </c>
      <c r="I2154" t="str">
        <f t="shared" si="351"/>
        <v>은천검제(2부 화산검제)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200</v>
      </c>
      <c r="AL2154">
        <v>0</v>
      </c>
      <c r="AM2154">
        <v>0</v>
      </c>
      <c r="AN2154">
        <v>0</v>
      </c>
      <c r="AO2154">
        <v>0</v>
      </c>
      <c r="AP2154">
        <v>140</v>
      </c>
      <c r="AV2154" t="str">
        <f t="shared" si="352"/>
        <v>판타지 웹소설 &gt; 무협 소설</v>
      </c>
    </row>
    <row r="2155" spans="1:48" x14ac:dyDescent="0.4">
      <c r="A2155">
        <v>2313009418</v>
      </c>
      <c r="B2155">
        <v>2313009487</v>
      </c>
      <c r="C2155" t="str">
        <f>T("은천검제(2부 화산검제) 70화")</f>
        <v>은천검제(2부 화산검제) 70화</v>
      </c>
      <c r="D2155" t="str">
        <f>T("70")</f>
        <v>70</v>
      </c>
      <c r="E2155" t="str">
        <f t="shared" si="350"/>
        <v>무장</v>
      </c>
      <c r="H2155" t="str">
        <f t="shared" si="353"/>
        <v>스토리위즈</v>
      </c>
      <c r="I2155" t="str">
        <f t="shared" si="351"/>
        <v>은천검제(2부 화산검제)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200</v>
      </c>
      <c r="AL2155">
        <v>0</v>
      </c>
      <c r="AM2155">
        <v>0</v>
      </c>
      <c r="AN2155">
        <v>0</v>
      </c>
      <c r="AO2155">
        <v>0</v>
      </c>
      <c r="AP2155">
        <v>140</v>
      </c>
      <c r="AV2155" t="str">
        <f t="shared" si="352"/>
        <v>판타지 웹소설 &gt; 무협 소설</v>
      </c>
    </row>
    <row r="2156" spans="1:48" x14ac:dyDescent="0.4">
      <c r="A2156">
        <v>2313009418</v>
      </c>
      <c r="B2156">
        <v>2313009488</v>
      </c>
      <c r="C2156" t="str">
        <f>T("은천검제(2부 화산검제) 71화")</f>
        <v>은천검제(2부 화산검제) 71화</v>
      </c>
      <c r="D2156" t="str">
        <f>T("71")</f>
        <v>71</v>
      </c>
      <c r="E2156" t="str">
        <f t="shared" si="350"/>
        <v>무장</v>
      </c>
      <c r="H2156" t="str">
        <f t="shared" si="353"/>
        <v>스토리위즈</v>
      </c>
      <c r="I2156" t="str">
        <f t="shared" si="351"/>
        <v>은천검제(2부 화산검제)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200</v>
      </c>
      <c r="AL2156">
        <v>0</v>
      </c>
      <c r="AM2156">
        <v>0</v>
      </c>
      <c r="AN2156">
        <v>0</v>
      </c>
      <c r="AO2156">
        <v>0</v>
      </c>
      <c r="AP2156">
        <v>140</v>
      </c>
      <c r="AV2156" t="str">
        <f t="shared" si="352"/>
        <v>판타지 웹소설 &gt; 무협 소설</v>
      </c>
    </row>
    <row r="2157" spans="1:48" x14ac:dyDescent="0.4">
      <c r="A2157">
        <v>2313009418</v>
      </c>
      <c r="B2157">
        <v>2313009489</v>
      </c>
      <c r="C2157" t="str">
        <f>T("은천검제(2부 화산검제) 72화")</f>
        <v>은천검제(2부 화산검제) 72화</v>
      </c>
      <c r="D2157" t="str">
        <f>T("72")</f>
        <v>72</v>
      </c>
      <c r="E2157" t="str">
        <f t="shared" si="350"/>
        <v>무장</v>
      </c>
      <c r="H2157" t="str">
        <f t="shared" si="353"/>
        <v>스토리위즈</v>
      </c>
      <c r="I2157" t="str">
        <f t="shared" si="351"/>
        <v>은천검제(2부 화산검제)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200</v>
      </c>
      <c r="AL2157">
        <v>0</v>
      </c>
      <c r="AM2157">
        <v>0</v>
      </c>
      <c r="AN2157">
        <v>0</v>
      </c>
      <c r="AO2157">
        <v>0</v>
      </c>
      <c r="AP2157">
        <v>140</v>
      </c>
      <c r="AV2157" t="str">
        <f t="shared" si="352"/>
        <v>판타지 웹소설 &gt; 무협 소설</v>
      </c>
    </row>
    <row r="2158" spans="1:48" x14ac:dyDescent="0.4">
      <c r="A2158">
        <v>2313009418</v>
      </c>
      <c r="B2158">
        <v>2313009490</v>
      </c>
      <c r="C2158" t="str">
        <f>T("은천검제(2부 화산검제) 73화")</f>
        <v>은천검제(2부 화산검제) 73화</v>
      </c>
      <c r="D2158" t="str">
        <f>T("73")</f>
        <v>73</v>
      </c>
      <c r="E2158" t="str">
        <f t="shared" si="350"/>
        <v>무장</v>
      </c>
      <c r="H2158" t="str">
        <f t="shared" si="353"/>
        <v>스토리위즈</v>
      </c>
      <c r="I2158" t="str">
        <f t="shared" si="351"/>
        <v>은천검제(2부 화산검제)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200</v>
      </c>
      <c r="AL2158">
        <v>0</v>
      </c>
      <c r="AM2158">
        <v>0</v>
      </c>
      <c r="AN2158">
        <v>0</v>
      </c>
      <c r="AO2158">
        <v>0</v>
      </c>
      <c r="AP2158">
        <v>140</v>
      </c>
      <c r="AV2158" t="str">
        <f t="shared" si="352"/>
        <v>판타지 웹소설 &gt; 무협 소설</v>
      </c>
    </row>
    <row r="2159" spans="1:48" x14ac:dyDescent="0.4">
      <c r="A2159">
        <v>2313009418</v>
      </c>
      <c r="B2159">
        <v>2313009491</v>
      </c>
      <c r="C2159" t="str">
        <f>T("은천검제(2부 화산검제) 74화")</f>
        <v>은천검제(2부 화산검제) 74화</v>
      </c>
      <c r="D2159" t="str">
        <f>T("74")</f>
        <v>74</v>
      </c>
      <c r="E2159" t="str">
        <f t="shared" si="350"/>
        <v>무장</v>
      </c>
      <c r="H2159" t="str">
        <f t="shared" si="353"/>
        <v>스토리위즈</v>
      </c>
      <c r="I2159" t="str">
        <f t="shared" si="351"/>
        <v>은천검제(2부 화산검제)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200</v>
      </c>
      <c r="AL2159">
        <v>0</v>
      </c>
      <c r="AM2159">
        <v>0</v>
      </c>
      <c r="AN2159">
        <v>0</v>
      </c>
      <c r="AO2159">
        <v>0</v>
      </c>
      <c r="AP2159">
        <v>140</v>
      </c>
      <c r="AV2159" t="str">
        <f t="shared" si="352"/>
        <v>판타지 웹소설 &gt; 무협 소설</v>
      </c>
    </row>
    <row r="2160" spans="1:48" x14ac:dyDescent="0.4">
      <c r="A2160">
        <v>2313009418</v>
      </c>
      <c r="B2160">
        <v>2313009492</v>
      </c>
      <c r="C2160" t="str">
        <f>T("은천검제(2부 화산검제) 75화")</f>
        <v>은천검제(2부 화산검제) 75화</v>
      </c>
      <c r="D2160" t="str">
        <f>T("75")</f>
        <v>75</v>
      </c>
      <c r="E2160" t="str">
        <f t="shared" si="350"/>
        <v>무장</v>
      </c>
      <c r="H2160" t="str">
        <f t="shared" si="353"/>
        <v>스토리위즈</v>
      </c>
      <c r="I2160" t="str">
        <f t="shared" si="351"/>
        <v>은천검제(2부 화산검제)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200</v>
      </c>
      <c r="AL2160">
        <v>0</v>
      </c>
      <c r="AM2160">
        <v>0</v>
      </c>
      <c r="AN2160">
        <v>0</v>
      </c>
      <c r="AO2160">
        <v>0</v>
      </c>
      <c r="AP2160">
        <v>140</v>
      </c>
      <c r="AV2160" t="str">
        <f t="shared" si="352"/>
        <v>판타지 웹소설 &gt; 무협 소설</v>
      </c>
    </row>
    <row r="2161" spans="1:48" x14ac:dyDescent="0.4">
      <c r="A2161">
        <v>2313009418</v>
      </c>
      <c r="B2161">
        <v>2313009493</v>
      </c>
      <c r="C2161" t="str">
        <f>T("은천검제(2부 화산검제) 76화")</f>
        <v>은천검제(2부 화산검제) 76화</v>
      </c>
      <c r="D2161" t="str">
        <f>T("76")</f>
        <v>76</v>
      </c>
      <c r="E2161" t="str">
        <f t="shared" si="350"/>
        <v>무장</v>
      </c>
      <c r="H2161" t="str">
        <f t="shared" si="353"/>
        <v>스토리위즈</v>
      </c>
      <c r="I2161" t="str">
        <f t="shared" si="351"/>
        <v>은천검제(2부 화산검제)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200</v>
      </c>
      <c r="AL2161">
        <v>0</v>
      </c>
      <c r="AM2161">
        <v>0</v>
      </c>
      <c r="AN2161">
        <v>0</v>
      </c>
      <c r="AO2161">
        <v>0</v>
      </c>
      <c r="AP2161">
        <v>140</v>
      </c>
      <c r="AV2161" t="str">
        <f t="shared" si="352"/>
        <v>판타지 웹소설 &gt; 무협 소설</v>
      </c>
    </row>
    <row r="2162" spans="1:48" x14ac:dyDescent="0.4">
      <c r="A2162">
        <v>2313009418</v>
      </c>
      <c r="B2162">
        <v>2313009494</v>
      </c>
      <c r="C2162" t="str">
        <f>T("은천검제(2부 화산검제) 77화")</f>
        <v>은천검제(2부 화산검제) 77화</v>
      </c>
      <c r="D2162" t="str">
        <f>T("77")</f>
        <v>77</v>
      </c>
      <c r="E2162" t="str">
        <f t="shared" si="350"/>
        <v>무장</v>
      </c>
      <c r="H2162" t="str">
        <f t="shared" si="353"/>
        <v>스토리위즈</v>
      </c>
      <c r="I2162" t="str">
        <f t="shared" si="351"/>
        <v>은천검제(2부 화산검제)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200</v>
      </c>
      <c r="AL2162">
        <v>0</v>
      </c>
      <c r="AM2162">
        <v>0</v>
      </c>
      <c r="AN2162">
        <v>0</v>
      </c>
      <c r="AO2162">
        <v>0</v>
      </c>
      <c r="AP2162">
        <v>140</v>
      </c>
      <c r="AV2162" t="str">
        <f t="shared" si="352"/>
        <v>판타지 웹소설 &gt; 무협 소설</v>
      </c>
    </row>
    <row r="2163" spans="1:48" x14ac:dyDescent="0.4">
      <c r="A2163">
        <v>2313009418</v>
      </c>
      <c r="B2163">
        <v>2313009495</v>
      </c>
      <c r="C2163" t="str">
        <f>T("은천검제(2부 화산검제) 78화")</f>
        <v>은천검제(2부 화산검제) 78화</v>
      </c>
      <c r="D2163" t="str">
        <f>T("78")</f>
        <v>78</v>
      </c>
      <c r="E2163" t="str">
        <f t="shared" si="350"/>
        <v>무장</v>
      </c>
      <c r="H2163" t="str">
        <f t="shared" si="353"/>
        <v>스토리위즈</v>
      </c>
      <c r="I2163" t="str">
        <f t="shared" si="351"/>
        <v>은천검제(2부 화산검제)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200</v>
      </c>
      <c r="AL2163">
        <v>0</v>
      </c>
      <c r="AM2163">
        <v>0</v>
      </c>
      <c r="AN2163">
        <v>0</v>
      </c>
      <c r="AO2163">
        <v>0</v>
      </c>
      <c r="AP2163">
        <v>140</v>
      </c>
      <c r="AV2163" t="str">
        <f t="shared" si="352"/>
        <v>판타지 웹소설 &gt; 무협 소설</v>
      </c>
    </row>
    <row r="2164" spans="1:48" x14ac:dyDescent="0.4">
      <c r="A2164">
        <v>2313009418</v>
      </c>
      <c r="B2164">
        <v>2313009496</v>
      </c>
      <c r="C2164" t="str">
        <f>T("은천검제(2부 화산검제) 79화")</f>
        <v>은천검제(2부 화산검제) 79화</v>
      </c>
      <c r="D2164" t="str">
        <f>T("79")</f>
        <v>79</v>
      </c>
      <c r="E2164" t="str">
        <f t="shared" si="350"/>
        <v>무장</v>
      </c>
      <c r="H2164" t="str">
        <f t="shared" si="353"/>
        <v>스토리위즈</v>
      </c>
      <c r="I2164" t="str">
        <f t="shared" si="351"/>
        <v>은천검제(2부 화산검제)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200</v>
      </c>
      <c r="AL2164">
        <v>0</v>
      </c>
      <c r="AM2164">
        <v>0</v>
      </c>
      <c r="AN2164">
        <v>0</v>
      </c>
      <c r="AO2164">
        <v>0</v>
      </c>
      <c r="AP2164">
        <v>140</v>
      </c>
      <c r="AV2164" t="str">
        <f t="shared" si="352"/>
        <v>판타지 웹소설 &gt; 무협 소설</v>
      </c>
    </row>
    <row r="2165" spans="1:48" x14ac:dyDescent="0.4">
      <c r="A2165">
        <v>2313009418</v>
      </c>
      <c r="B2165">
        <v>2313009497</v>
      </c>
      <c r="C2165" t="str">
        <f>T("은천검제(2부 화산검제) 80화")</f>
        <v>은천검제(2부 화산검제) 80화</v>
      </c>
      <c r="D2165" t="str">
        <f>T("80")</f>
        <v>80</v>
      </c>
      <c r="E2165" t="str">
        <f t="shared" si="350"/>
        <v>무장</v>
      </c>
      <c r="H2165" t="str">
        <f t="shared" si="353"/>
        <v>스토리위즈</v>
      </c>
      <c r="I2165" t="str">
        <f t="shared" si="351"/>
        <v>은천검제(2부 화산검제)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200</v>
      </c>
      <c r="AL2165">
        <v>0</v>
      </c>
      <c r="AM2165">
        <v>0</v>
      </c>
      <c r="AN2165">
        <v>0</v>
      </c>
      <c r="AO2165">
        <v>0</v>
      </c>
      <c r="AP2165">
        <v>140</v>
      </c>
      <c r="AV2165" t="str">
        <f t="shared" si="352"/>
        <v>판타지 웹소설 &gt; 무협 소설</v>
      </c>
    </row>
    <row r="2166" spans="1:48" x14ac:dyDescent="0.4">
      <c r="A2166">
        <v>2313009418</v>
      </c>
      <c r="B2166">
        <v>2313009498</v>
      </c>
      <c r="C2166" t="str">
        <f>T("은천검제(2부 화산검제) 81화")</f>
        <v>은천검제(2부 화산검제) 81화</v>
      </c>
      <c r="D2166" t="str">
        <f>T("81")</f>
        <v>81</v>
      </c>
      <c r="E2166" t="str">
        <f t="shared" si="350"/>
        <v>무장</v>
      </c>
      <c r="H2166" t="str">
        <f t="shared" si="353"/>
        <v>스토리위즈</v>
      </c>
      <c r="I2166" t="str">
        <f t="shared" si="351"/>
        <v>은천검제(2부 화산검제)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200</v>
      </c>
      <c r="AL2166">
        <v>0</v>
      </c>
      <c r="AM2166">
        <v>0</v>
      </c>
      <c r="AN2166">
        <v>0</v>
      </c>
      <c r="AO2166">
        <v>0</v>
      </c>
      <c r="AP2166">
        <v>140</v>
      </c>
      <c r="AV2166" t="str">
        <f t="shared" si="352"/>
        <v>판타지 웹소설 &gt; 무협 소설</v>
      </c>
    </row>
    <row r="2167" spans="1:48" x14ac:dyDescent="0.4">
      <c r="A2167">
        <v>2313009418</v>
      </c>
      <c r="B2167">
        <v>2313009499</v>
      </c>
      <c r="C2167" t="str">
        <f>T("은천검제(2부 화산검제) 82화")</f>
        <v>은천검제(2부 화산검제) 82화</v>
      </c>
      <c r="D2167" t="str">
        <f>T("82")</f>
        <v>82</v>
      </c>
      <c r="E2167" t="str">
        <f t="shared" si="350"/>
        <v>무장</v>
      </c>
      <c r="H2167" t="str">
        <f t="shared" si="353"/>
        <v>스토리위즈</v>
      </c>
      <c r="I2167" t="str">
        <f t="shared" si="351"/>
        <v>은천검제(2부 화산검제)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200</v>
      </c>
      <c r="AL2167">
        <v>0</v>
      </c>
      <c r="AM2167">
        <v>0</v>
      </c>
      <c r="AN2167">
        <v>0</v>
      </c>
      <c r="AO2167">
        <v>0</v>
      </c>
      <c r="AP2167">
        <v>140</v>
      </c>
      <c r="AV2167" t="str">
        <f t="shared" si="352"/>
        <v>판타지 웹소설 &gt; 무협 소설</v>
      </c>
    </row>
    <row r="2168" spans="1:48" x14ac:dyDescent="0.4">
      <c r="A2168">
        <v>2313009418</v>
      </c>
      <c r="B2168">
        <v>2313009500</v>
      </c>
      <c r="C2168" t="str">
        <f>T("은천검제(2부 화산검제) 83화")</f>
        <v>은천검제(2부 화산검제) 83화</v>
      </c>
      <c r="D2168" t="str">
        <f>T("83")</f>
        <v>83</v>
      </c>
      <c r="E2168" t="str">
        <f t="shared" si="350"/>
        <v>무장</v>
      </c>
      <c r="H2168" t="str">
        <f t="shared" si="353"/>
        <v>스토리위즈</v>
      </c>
      <c r="I2168" t="str">
        <f t="shared" si="351"/>
        <v>은천검제(2부 화산검제)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200</v>
      </c>
      <c r="AL2168">
        <v>0</v>
      </c>
      <c r="AM2168">
        <v>0</v>
      </c>
      <c r="AN2168">
        <v>0</v>
      </c>
      <c r="AO2168">
        <v>0</v>
      </c>
      <c r="AP2168">
        <v>140</v>
      </c>
      <c r="AV2168" t="str">
        <f t="shared" si="352"/>
        <v>판타지 웹소설 &gt; 무협 소설</v>
      </c>
    </row>
    <row r="2169" spans="1:48" x14ac:dyDescent="0.4">
      <c r="A2169">
        <v>2313009418</v>
      </c>
      <c r="B2169">
        <v>2313009501</v>
      </c>
      <c r="C2169" t="str">
        <f>T("은천검제(2부 화산검제) 84화")</f>
        <v>은천검제(2부 화산검제) 84화</v>
      </c>
      <c r="D2169" t="str">
        <f>T("84")</f>
        <v>84</v>
      </c>
      <c r="E2169" t="str">
        <f t="shared" si="350"/>
        <v>무장</v>
      </c>
      <c r="H2169" t="str">
        <f t="shared" si="353"/>
        <v>스토리위즈</v>
      </c>
      <c r="I2169" t="str">
        <f t="shared" si="351"/>
        <v>은천검제(2부 화산검제)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200</v>
      </c>
      <c r="AL2169">
        <v>0</v>
      </c>
      <c r="AM2169">
        <v>0</v>
      </c>
      <c r="AN2169">
        <v>0</v>
      </c>
      <c r="AO2169">
        <v>0</v>
      </c>
      <c r="AP2169">
        <v>140</v>
      </c>
      <c r="AV2169" t="str">
        <f t="shared" si="352"/>
        <v>판타지 웹소설 &gt; 무협 소설</v>
      </c>
    </row>
    <row r="2170" spans="1:48" x14ac:dyDescent="0.4">
      <c r="A2170">
        <v>2313009418</v>
      </c>
      <c r="B2170">
        <v>2313009502</v>
      </c>
      <c r="C2170" t="str">
        <f>T("은천검제(2부 화산검제) 85화")</f>
        <v>은천검제(2부 화산검제) 85화</v>
      </c>
      <c r="D2170" t="str">
        <f>T("85")</f>
        <v>85</v>
      </c>
      <c r="E2170" t="str">
        <f t="shared" si="350"/>
        <v>무장</v>
      </c>
      <c r="H2170" t="str">
        <f t="shared" si="353"/>
        <v>스토리위즈</v>
      </c>
      <c r="I2170" t="str">
        <f t="shared" si="351"/>
        <v>은천검제(2부 화산검제)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0</v>
      </c>
      <c r="AP2170">
        <v>140</v>
      </c>
      <c r="AV2170" t="str">
        <f t="shared" si="352"/>
        <v>판타지 웹소설 &gt; 무협 소설</v>
      </c>
    </row>
    <row r="2171" spans="1:48" x14ac:dyDescent="0.4">
      <c r="A2171">
        <v>2313009418</v>
      </c>
      <c r="B2171">
        <v>2313009503</v>
      </c>
      <c r="C2171" t="str">
        <f>T("은천검제(2부 화산검제) 86화")</f>
        <v>은천검제(2부 화산검제) 86화</v>
      </c>
      <c r="D2171" t="str">
        <f>T("86")</f>
        <v>86</v>
      </c>
      <c r="E2171" t="str">
        <f t="shared" si="350"/>
        <v>무장</v>
      </c>
      <c r="H2171" t="str">
        <f t="shared" si="353"/>
        <v>스토리위즈</v>
      </c>
      <c r="I2171" t="str">
        <f t="shared" si="351"/>
        <v>은천검제(2부 화산검제)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200</v>
      </c>
      <c r="AL2171">
        <v>0</v>
      </c>
      <c r="AM2171">
        <v>0</v>
      </c>
      <c r="AN2171">
        <v>0</v>
      </c>
      <c r="AO2171">
        <v>0</v>
      </c>
      <c r="AP2171">
        <v>140</v>
      </c>
      <c r="AV2171" t="str">
        <f t="shared" si="352"/>
        <v>판타지 웹소설 &gt; 무협 소설</v>
      </c>
    </row>
    <row r="2172" spans="1:48" x14ac:dyDescent="0.4">
      <c r="A2172">
        <v>2313009418</v>
      </c>
      <c r="B2172">
        <v>2313009504</v>
      </c>
      <c r="C2172" t="str">
        <f>T("은천검제(2부 화산검제) 87화")</f>
        <v>은천검제(2부 화산검제) 87화</v>
      </c>
      <c r="D2172" t="str">
        <f>T("87")</f>
        <v>87</v>
      </c>
      <c r="E2172" t="str">
        <f t="shared" ref="E2172:E2180" si="354">T("무장")</f>
        <v>무장</v>
      </c>
      <c r="H2172" t="str">
        <f t="shared" si="353"/>
        <v>스토리위즈</v>
      </c>
      <c r="I2172" t="str">
        <f t="shared" ref="I2172:I2180" si="355">T("은천검제(2부 화산검제)")</f>
        <v>은천검제(2부 화산검제)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200</v>
      </c>
      <c r="AL2172">
        <v>0</v>
      </c>
      <c r="AM2172">
        <v>0</v>
      </c>
      <c r="AN2172">
        <v>0</v>
      </c>
      <c r="AO2172">
        <v>0</v>
      </c>
      <c r="AP2172">
        <v>140</v>
      </c>
      <c r="AV2172" t="str">
        <f t="shared" ref="AV2172:AV2180" si="356">T("판타지 웹소설 &gt; 무협 소설")</f>
        <v>판타지 웹소설 &gt; 무협 소설</v>
      </c>
    </row>
    <row r="2173" spans="1:48" x14ac:dyDescent="0.4">
      <c r="A2173">
        <v>2313009418</v>
      </c>
      <c r="B2173">
        <v>2313009505</v>
      </c>
      <c r="C2173" t="str">
        <f>T("은천검제(2부 화산검제) 88화")</f>
        <v>은천검제(2부 화산검제) 88화</v>
      </c>
      <c r="D2173" t="str">
        <f>T("88")</f>
        <v>88</v>
      </c>
      <c r="E2173" t="str">
        <f t="shared" si="354"/>
        <v>무장</v>
      </c>
      <c r="H2173" t="str">
        <f t="shared" si="353"/>
        <v>스토리위즈</v>
      </c>
      <c r="I2173" t="str">
        <f t="shared" si="355"/>
        <v>은천검제(2부 화산검제)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>
        <v>140</v>
      </c>
      <c r="AV2173" t="str">
        <f t="shared" si="356"/>
        <v>판타지 웹소설 &gt; 무협 소설</v>
      </c>
    </row>
    <row r="2174" spans="1:48" x14ac:dyDescent="0.4">
      <c r="A2174">
        <v>2313009418</v>
      </c>
      <c r="B2174">
        <v>2313009506</v>
      </c>
      <c r="C2174" t="str">
        <f>T("은천검제(2부 화산검제) 89화")</f>
        <v>은천검제(2부 화산검제) 89화</v>
      </c>
      <c r="D2174" t="str">
        <f>T("89")</f>
        <v>89</v>
      </c>
      <c r="E2174" t="str">
        <f t="shared" si="354"/>
        <v>무장</v>
      </c>
      <c r="H2174" t="str">
        <f t="shared" si="353"/>
        <v>스토리위즈</v>
      </c>
      <c r="I2174" t="str">
        <f t="shared" si="355"/>
        <v>은천검제(2부 화산검제)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0</v>
      </c>
      <c r="AP2174">
        <v>140</v>
      </c>
      <c r="AV2174" t="str">
        <f t="shared" si="356"/>
        <v>판타지 웹소설 &gt; 무협 소설</v>
      </c>
    </row>
    <row r="2175" spans="1:48" x14ac:dyDescent="0.4">
      <c r="A2175">
        <v>2313009418</v>
      </c>
      <c r="B2175">
        <v>2313009507</v>
      </c>
      <c r="C2175" t="str">
        <f>T("은천검제(2부 화산검제) 90화")</f>
        <v>은천검제(2부 화산검제) 90화</v>
      </c>
      <c r="D2175" t="str">
        <f>T("90")</f>
        <v>90</v>
      </c>
      <c r="E2175" t="str">
        <f t="shared" si="354"/>
        <v>무장</v>
      </c>
      <c r="H2175" t="str">
        <f t="shared" si="353"/>
        <v>스토리위즈</v>
      </c>
      <c r="I2175" t="str">
        <f t="shared" si="355"/>
        <v>은천검제(2부 화산검제)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200</v>
      </c>
      <c r="AL2175">
        <v>0</v>
      </c>
      <c r="AM2175">
        <v>0</v>
      </c>
      <c r="AN2175">
        <v>0</v>
      </c>
      <c r="AO2175">
        <v>0</v>
      </c>
      <c r="AP2175">
        <v>140</v>
      </c>
      <c r="AV2175" t="str">
        <f t="shared" si="356"/>
        <v>판타지 웹소설 &gt; 무협 소설</v>
      </c>
    </row>
    <row r="2176" spans="1:48" x14ac:dyDescent="0.4">
      <c r="A2176">
        <v>2313009418</v>
      </c>
      <c r="B2176">
        <v>2313009508</v>
      </c>
      <c r="C2176" t="str">
        <f>T("은천검제(2부 화산검제) 91화")</f>
        <v>은천검제(2부 화산검제) 91화</v>
      </c>
      <c r="D2176" t="str">
        <f>T("91")</f>
        <v>91</v>
      </c>
      <c r="E2176" t="str">
        <f t="shared" si="354"/>
        <v>무장</v>
      </c>
      <c r="H2176" t="str">
        <f t="shared" si="353"/>
        <v>스토리위즈</v>
      </c>
      <c r="I2176" t="str">
        <f t="shared" si="355"/>
        <v>은천검제(2부 화산검제)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200</v>
      </c>
      <c r="AL2176">
        <v>0</v>
      </c>
      <c r="AM2176">
        <v>0</v>
      </c>
      <c r="AN2176">
        <v>0</v>
      </c>
      <c r="AO2176">
        <v>0</v>
      </c>
      <c r="AP2176">
        <v>140</v>
      </c>
      <c r="AV2176" t="str">
        <f t="shared" si="356"/>
        <v>판타지 웹소설 &gt; 무협 소설</v>
      </c>
    </row>
    <row r="2177" spans="1:48" x14ac:dyDescent="0.4">
      <c r="A2177">
        <v>2313009418</v>
      </c>
      <c r="B2177">
        <v>2313009509</v>
      </c>
      <c r="C2177" t="str">
        <f>T("은천검제(2부 화산검제) 92화")</f>
        <v>은천검제(2부 화산검제) 92화</v>
      </c>
      <c r="D2177" t="str">
        <f>T("92")</f>
        <v>92</v>
      </c>
      <c r="E2177" t="str">
        <f t="shared" si="354"/>
        <v>무장</v>
      </c>
      <c r="H2177" t="str">
        <f t="shared" si="353"/>
        <v>스토리위즈</v>
      </c>
      <c r="I2177" t="str">
        <f t="shared" si="355"/>
        <v>은천검제(2부 화산검제)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200</v>
      </c>
      <c r="AL2177">
        <v>0</v>
      </c>
      <c r="AM2177">
        <v>0</v>
      </c>
      <c r="AN2177">
        <v>0</v>
      </c>
      <c r="AO2177">
        <v>0</v>
      </c>
      <c r="AP2177">
        <v>140</v>
      </c>
      <c r="AV2177" t="str">
        <f t="shared" si="356"/>
        <v>판타지 웹소설 &gt; 무협 소설</v>
      </c>
    </row>
    <row r="2178" spans="1:48" x14ac:dyDescent="0.4">
      <c r="A2178">
        <v>2313009418</v>
      </c>
      <c r="B2178">
        <v>2313009510</v>
      </c>
      <c r="C2178" t="str">
        <f>T("은천검제(2부 화산검제) 93화")</f>
        <v>은천검제(2부 화산검제) 93화</v>
      </c>
      <c r="D2178" t="str">
        <f>T("93")</f>
        <v>93</v>
      </c>
      <c r="E2178" t="str">
        <f t="shared" si="354"/>
        <v>무장</v>
      </c>
      <c r="H2178" t="str">
        <f t="shared" si="353"/>
        <v>스토리위즈</v>
      </c>
      <c r="I2178" t="str">
        <f t="shared" si="355"/>
        <v>은천검제(2부 화산검제)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200</v>
      </c>
      <c r="AL2178">
        <v>0</v>
      </c>
      <c r="AM2178">
        <v>0</v>
      </c>
      <c r="AN2178">
        <v>0</v>
      </c>
      <c r="AO2178">
        <v>0</v>
      </c>
      <c r="AP2178">
        <v>140</v>
      </c>
      <c r="AV2178" t="str">
        <f t="shared" si="356"/>
        <v>판타지 웹소설 &gt; 무협 소설</v>
      </c>
    </row>
    <row r="2179" spans="1:48" x14ac:dyDescent="0.4">
      <c r="A2179">
        <v>2313009418</v>
      </c>
      <c r="B2179">
        <v>2313009511</v>
      </c>
      <c r="C2179" t="str">
        <f>T("은천검제(2부 화산검제) 94화")</f>
        <v>은천검제(2부 화산검제) 94화</v>
      </c>
      <c r="D2179" t="str">
        <f>T("94")</f>
        <v>94</v>
      </c>
      <c r="E2179" t="str">
        <f t="shared" si="354"/>
        <v>무장</v>
      </c>
      <c r="H2179" t="str">
        <f t="shared" si="353"/>
        <v>스토리위즈</v>
      </c>
      <c r="I2179" t="str">
        <f t="shared" si="355"/>
        <v>은천검제(2부 화산검제)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200</v>
      </c>
      <c r="AL2179">
        <v>0</v>
      </c>
      <c r="AM2179">
        <v>0</v>
      </c>
      <c r="AN2179">
        <v>0</v>
      </c>
      <c r="AO2179">
        <v>0</v>
      </c>
      <c r="AP2179">
        <v>140</v>
      </c>
      <c r="AV2179" t="str">
        <f t="shared" si="356"/>
        <v>판타지 웹소설 &gt; 무협 소설</v>
      </c>
    </row>
    <row r="2180" spans="1:48" x14ac:dyDescent="0.4">
      <c r="A2180">
        <v>2313009418</v>
      </c>
      <c r="B2180">
        <v>2313009512</v>
      </c>
      <c r="C2180" t="str">
        <f>T("은천검제(2부 화산검제) 95화")</f>
        <v>은천검제(2부 화산검제) 95화</v>
      </c>
      <c r="D2180" t="str">
        <f>T("95")</f>
        <v>95</v>
      </c>
      <c r="E2180" t="str">
        <f t="shared" si="354"/>
        <v>무장</v>
      </c>
      <c r="H2180" t="str">
        <f t="shared" si="353"/>
        <v>스토리위즈</v>
      </c>
      <c r="I2180" t="str">
        <f t="shared" si="355"/>
        <v>은천검제(2부 화산검제)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200</v>
      </c>
      <c r="AL2180">
        <v>0</v>
      </c>
      <c r="AM2180">
        <v>0</v>
      </c>
      <c r="AN2180">
        <v>0</v>
      </c>
      <c r="AO2180">
        <v>0</v>
      </c>
      <c r="AP2180">
        <v>140</v>
      </c>
      <c r="AV2180" t="str">
        <f t="shared" si="356"/>
        <v>판타지 웹소설 &gt; 무협 소설</v>
      </c>
    </row>
    <row r="2181" spans="1:48" x14ac:dyDescent="0.4">
      <c r="A2181">
        <v>2313009749</v>
      </c>
      <c r="B2181">
        <v>2313009774</v>
      </c>
      <c r="C2181" t="str">
        <f>T("리얼 머니 26화")</f>
        <v>리얼 머니 26화</v>
      </c>
      <c r="D2181" t="str">
        <f>T("26")</f>
        <v>26</v>
      </c>
      <c r="E2181" t="str">
        <f>T("진문")</f>
        <v>진문</v>
      </c>
      <c r="H2181" t="str">
        <f t="shared" si="353"/>
        <v>스토리위즈</v>
      </c>
      <c r="I2181" t="str">
        <f>T("리얼 머니")</f>
        <v>리얼 머니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200</v>
      </c>
      <c r="AL2181">
        <v>0</v>
      </c>
      <c r="AM2181">
        <v>0</v>
      </c>
      <c r="AN2181">
        <v>0</v>
      </c>
      <c r="AO2181">
        <v>0</v>
      </c>
      <c r="AP2181">
        <v>140</v>
      </c>
      <c r="AT2181" t="str">
        <f>T("9791166068942")</f>
        <v>9791166068942</v>
      </c>
      <c r="AV2181" t="str">
        <f>T("판타지 웹소설 &gt; 현대 판타지")</f>
        <v>판타지 웹소설 &gt; 현대 판타지</v>
      </c>
    </row>
    <row r="2182" spans="1:48" x14ac:dyDescent="0.4">
      <c r="A2182">
        <v>2313010290</v>
      </c>
      <c r="B2182">
        <v>2313010301</v>
      </c>
      <c r="C2182" t="str">
        <f>T("아저씨, 내 기분 왜 이래요? 12화")</f>
        <v>아저씨, 내 기분 왜 이래요? 12화</v>
      </c>
      <c r="D2182" t="str">
        <f>T("12")</f>
        <v>12</v>
      </c>
      <c r="E2182" t="str">
        <f t="shared" ref="E2182:E2202" si="357">T("Livingston")</f>
        <v>Livingston</v>
      </c>
      <c r="H2182" t="str">
        <f t="shared" si="353"/>
        <v>스토리위즈</v>
      </c>
      <c r="I2182" t="str">
        <f t="shared" ref="I2182:I2202" si="358">T("아저씨, 내 기분 왜 이래요?")</f>
        <v>아저씨, 내 기분 왜 이래요?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200</v>
      </c>
      <c r="AL2182">
        <v>0</v>
      </c>
      <c r="AM2182">
        <v>0</v>
      </c>
      <c r="AN2182">
        <v>0</v>
      </c>
      <c r="AO2182">
        <v>0</v>
      </c>
      <c r="AP2182">
        <v>140</v>
      </c>
      <c r="AT2182" t="str">
        <f t="shared" ref="AT2182:AT2202" si="359">T("9791166069482")</f>
        <v>9791166069482</v>
      </c>
      <c r="AV2182" t="str">
        <f t="shared" ref="AV2182:AV2202" si="360">T("로맨스 웹소설 &gt; 현대물")</f>
        <v>로맨스 웹소설 &gt; 현대물</v>
      </c>
    </row>
    <row r="2183" spans="1:48" x14ac:dyDescent="0.4">
      <c r="A2183">
        <v>2313010290</v>
      </c>
      <c r="B2183">
        <v>2313010302</v>
      </c>
      <c r="C2183" t="str">
        <f>T("아저씨, 내 기분 왜 이래요? 13화")</f>
        <v>아저씨, 내 기분 왜 이래요? 13화</v>
      </c>
      <c r="D2183" t="str">
        <f>T("13")</f>
        <v>13</v>
      </c>
      <c r="E2183" t="str">
        <f t="shared" si="357"/>
        <v>Livingston</v>
      </c>
      <c r="H2183" t="str">
        <f t="shared" si="353"/>
        <v>스토리위즈</v>
      </c>
      <c r="I2183" t="str">
        <f t="shared" si="358"/>
        <v>아저씨, 내 기분 왜 이래요?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200</v>
      </c>
      <c r="AL2183">
        <v>0</v>
      </c>
      <c r="AM2183">
        <v>0</v>
      </c>
      <c r="AN2183">
        <v>0</v>
      </c>
      <c r="AO2183">
        <v>0</v>
      </c>
      <c r="AP2183">
        <v>140</v>
      </c>
      <c r="AT2183" t="str">
        <f t="shared" si="359"/>
        <v>9791166069482</v>
      </c>
      <c r="AV2183" t="str">
        <f t="shared" si="360"/>
        <v>로맨스 웹소설 &gt; 현대물</v>
      </c>
    </row>
    <row r="2184" spans="1:48" x14ac:dyDescent="0.4">
      <c r="A2184">
        <v>2313010290</v>
      </c>
      <c r="B2184">
        <v>2313010303</v>
      </c>
      <c r="C2184" t="str">
        <f>T("아저씨, 내 기분 왜 이래요? 14화")</f>
        <v>아저씨, 내 기분 왜 이래요? 14화</v>
      </c>
      <c r="D2184" t="str">
        <f>T("14")</f>
        <v>14</v>
      </c>
      <c r="E2184" t="str">
        <f t="shared" si="357"/>
        <v>Livingston</v>
      </c>
      <c r="H2184" t="str">
        <f t="shared" si="353"/>
        <v>스토리위즈</v>
      </c>
      <c r="I2184" t="str">
        <f t="shared" si="358"/>
        <v>아저씨, 내 기분 왜 이래요?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200</v>
      </c>
      <c r="AL2184">
        <v>0</v>
      </c>
      <c r="AM2184">
        <v>0</v>
      </c>
      <c r="AN2184">
        <v>0</v>
      </c>
      <c r="AO2184">
        <v>0</v>
      </c>
      <c r="AP2184">
        <v>140</v>
      </c>
      <c r="AT2184" t="str">
        <f t="shared" si="359"/>
        <v>9791166069482</v>
      </c>
      <c r="AV2184" t="str">
        <f t="shared" si="360"/>
        <v>로맨스 웹소설 &gt; 현대물</v>
      </c>
    </row>
    <row r="2185" spans="1:48" x14ac:dyDescent="0.4">
      <c r="A2185">
        <v>2313010290</v>
      </c>
      <c r="B2185">
        <v>2313010304</v>
      </c>
      <c r="C2185" t="str">
        <f>T("아저씨, 내 기분 왜 이래요? 15화")</f>
        <v>아저씨, 내 기분 왜 이래요? 15화</v>
      </c>
      <c r="D2185" t="str">
        <f>T("15")</f>
        <v>15</v>
      </c>
      <c r="E2185" t="str">
        <f t="shared" si="357"/>
        <v>Livingston</v>
      </c>
      <c r="H2185" t="str">
        <f t="shared" si="353"/>
        <v>스토리위즈</v>
      </c>
      <c r="I2185" t="str">
        <f t="shared" si="358"/>
        <v>아저씨, 내 기분 왜 이래요?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200</v>
      </c>
      <c r="AL2185">
        <v>0</v>
      </c>
      <c r="AM2185">
        <v>0</v>
      </c>
      <c r="AN2185">
        <v>0</v>
      </c>
      <c r="AO2185">
        <v>0</v>
      </c>
      <c r="AP2185">
        <v>140</v>
      </c>
      <c r="AT2185" t="str">
        <f t="shared" si="359"/>
        <v>9791166069482</v>
      </c>
      <c r="AV2185" t="str">
        <f t="shared" si="360"/>
        <v>로맨스 웹소설 &gt; 현대물</v>
      </c>
    </row>
    <row r="2186" spans="1:48" x14ac:dyDescent="0.4">
      <c r="A2186">
        <v>2313010290</v>
      </c>
      <c r="B2186">
        <v>2313010317</v>
      </c>
      <c r="C2186" t="str">
        <f>T("아저씨, 내 기분 왜 이래요? 28화")</f>
        <v>아저씨, 내 기분 왜 이래요? 28화</v>
      </c>
      <c r="D2186" t="str">
        <f>T("28")</f>
        <v>28</v>
      </c>
      <c r="E2186" t="str">
        <f t="shared" si="357"/>
        <v>Livingston</v>
      </c>
      <c r="H2186" t="str">
        <f t="shared" si="353"/>
        <v>스토리위즈</v>
      </c>
      <c r="I2186" t="str">
        <f t="shared" si="358"/>
        <v>아저씨, 내 기분 왜 이래요?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200</v>
      </c>
      <c r="AL2186">
        <v>0</v>
      </c>
      <c r="AM2186">
        <v>0</v>
      </c>
      <c r="AN2186">
        <v>0</v>
      </c>
      <c r="AO2186">
        <v>0</v>
      </c>
      <c r="AP2186">
        <v>140</v>
      </c>
      <c r="AT2186" t="str">
        <f t="shared" si="359"/>
        <v>9791166069482</v>
      </c>
      <c r="AV2186" t="str">
        <f t="shared" si="360"/>
        <v>로맨스 웹소설 &gt; 현대물</v>
      </c>
    </row>
    <row r="2187" spans="1:48" x14ac:dyDescent="0.4">
      <c r="A2187">
        <v>2313010290</v>
      </c>
      <c r="B2187">
        <v>2313010318</v>
      </c>
      <c r="C2187" t="str">
        <f>T("아저씨, 내 기분 왜 이래요? 29화")</f>
        <v>아저씨, 내 기분 왜 이래요? 29화</v>
      </c>
      <c r="D2187" t="str">
        <f>T("29")</f>
        <v>29</v>
      </c>
      <c r="E2187" t="str">
        <f t="shared" si="357"/>
        <v>Livingston</v>
      </c>
      <c r="H2187" t="str">
        <f t="shared" si="353"/>
        <v>스토리위즈</v>
      </c>
      <c r="I2187" t="str">
        <f t="shared" si="358"/>
        <v>아저씨, 내 기분 왜 이래요?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200</v>
      </c>
      <c r="AL2187">
        <v>0</v>
      </c>
      <c r="AM2187">
        <v>0</v>
      </c>
      <c r="AN2187">
        <v>0</v>
      </c>
      <c r="AO2187">
        <v>0</v>
      </c>
      <c r="AP2187">
        <v>140</v>
      </c>
      <c r="AT2187" t="str">
        <f t="shared" si="359"/>
        <v>9791166069482</v>
      </c>
      <c r="AV2187" t="str">
        <f t="shared" si="360"/>
        <v>로맨스 웹소설 &gt; 현대물</v>
      </c>
    </row>
    <row r="2188" spans="1:48" x14ac:dyDescent="0.4">
      <c r="A2188">
        <v>2313010290</v>
      </c>
      <c r="B2188">
        <v>2313010319</v>
      </c>
      <c r="C2188" t="str">
        <f>T("아저씨, 내 기분 왜 이래요? 30화")</f>
        <v>아저씨, 내 기분 왜 이래요? 30화</v>
      </c>
      <c r="D2188" t="str">
        <f>T("30")</f>
        <v>30</v>
      </c>
      <c r="E2188" t="str">
        <f t="shared" si="357"/>
        <v>Livingston</v>
      </c>
      <c r="H2188" t="str">
        <f t="shared" si="353"/>
        <v>스토리위즈</v>
      </c>
      <c r="I2188" t="str">
        <f t="shared" si="358"/>
        <v>아저씨, 내 기분 왜 이래요?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200</v>
      </c>
      <c r="AL2188">
        <v>0</v>
      </c>
      <c r="AM2188">
        <v>0</v>
      </c>
      <c r="AN2188">
        <v>0</v>
      </c>
      <c r="AO2188">
        <v>0</v>
      </c>
      <c r="AP2188">
        <v>140</v>
      </c>
      <c r="AT2188" t="str">
        <f t="shared" si="359"/>
        <v>9791166069482</v>
      </c>
      <c r="AV2188" t="str">
        <f t="shared" si="360"/>
        <v>로맨스 웹소설 &gt; 현대물</v>
      </c>
    </row>
    <row r="2189" spans="1:48" x14ac:dyDescent="0.4">
      <c r="A2189">
        <v>2313010290</v>
      </c>
      <c r="B2189">
        <v>2313010320</v>
      </c>
      <c r="C2189" t="str">
        <f>T("아저씨, 내 기분 왜 이래요? 31화")</f>
        <v>아저씨, 내 기분 왜 이래요? 31화</v>
      </c>
      <c r="D2189" t="str">
        <f>T("31")</f>
        <v>31</v>
      </c>
      <c r="E2189" t="str">
        <f t="shared" si="357"/>
        <v>Livingston</v>
      </c>
      <c r="H2189" t="str">
        <f t="shared" si="353"/>
        <v>스토리위즈</v>
      </c>
      <c r="I2189" t="str">
        <f t="shared" si="358"/>
        <v>아저씨, 내 기분 왜 이래요?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200</v>
      </c>
      <c r="AL2189">
        <v>0</v>
      </c>
      <c r="AM2189">
        <v>0</v>
      </c>
      <c r="AN2189">
        <v>0</v>
      </c>
      <c r="AO2189">
        <v>0</v>
      </c>
      <c r="AP2189">
        <v>140</v>
      </c>
      <c r="AT2189" t="str">
        <f t="shared" si="359"/>
        <v>9791166069482</v>
      </c>
      <c r="AV2189" t="str">
        <f t="shared" si="360"/>
        <v>로맨스 웹소설 &gt; 현대물</v>
      </c>
    </row>
    <row r="2190" spans="1:48" x14ac:dyDescent="0.4">
      <c r="A2190">
        <v>2313010290</v>
      </c>
      <c r="B2190">
        <v>2313010321</v>
      </c>
      <c r="C2190" t="str">
        <f>T("아저씨, 내 기분 왜 이래요? 32화")</f>
        <v>아저씨, 내 기분 왜 이래요? 32화</v>
      </c>
      <c r="D2190" t="str">
        <f>T("32")</f>
        <v>32</v>
      </c>
      <c r="E2190" t="str">
        <f t="shared" si="357"/>
        <v>Livingston</v>
      </c>
      <c r="H2190" t="str">
        <f t="shared" si="353"/>
        <v>스토리위즈</v>
      </c>
      <c r="I2190" t="str">
        <f t="shared" si="358"/>
        <v>아저씨, 내 기분 왜 이래요?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200</v>
      </c>
      <c r="AL2190">
        <v>0</v>
      </c>
      <c r="AM2190">
        <v>0</v>
      </c>
      <c r="AN2190">
        <v>0</v>
      </c>
      <c r="AO2190">
        <v>0</v>
      </c>
      <c r="AP2190">
        <v>140</v>
      </c>
      <c r="AT2190" t="str">
        <f t="shared" si="359"/>
        <v>9791166069482</v>
      </c>
      <c r="AV2190" t="str">
        <f t="shared" si="360"/>
        <v>로맨스 웹소설 &gt; 현대물</v>
      </c>
    </row>
    <row r="2191" spans="1:48" x14ac:dyDescent="0.4">
      <c r="A2191">
        <v>2313010290</v>
      </c>
      <c r="B2191">
        <v>2313010322</v>
      </c>
      <c r="C2191" t="str">
        <f>T("아저씨, 내 기분 왜 이래요? 33화")</f>
        <v>아저씨, 내 기분 왜 이래요? 33화</v>
      </c>
      <c r="D2191" t="str">
        <f>T("33")</f>
        <v>33</v>
      </c>
      <c r="E2191" t="str">
        <f t="shared" si="357"/>
        <v>Livingston</v>
      </c>
      <c r="H2191" t="str">
        <f t="shared" si="353"/>
        <v>스토리위즈</v>
      </c>
      <c r="I2191" t="str">
        <f t="shared" si="358"/>
        <v>아저씨, 내 기분 왜 이래요?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200</v>
      </c>
      <c r="AL2191">
        <v>0</v>
      </c>
      <c r="AM2191">
        <v>0</v>
      </c>
      <c r="AN2191">
        <v>0</v>
      </c>
      <c r="AO2191">
        <v>0</v>
      </c>
      <c r="AP2191">
        <v>140</v>
      </c>
      <c r="AT2191" t="str">
        <f t="shared" si="359"/>
        <v>9791166069482</v>
      </c>
      <c r="AV2191" t="str">
        <f t="shared" si="360"/>
        <v>로맨스 웹소설 &gt; 현대물</v>
      </c>
    </row>
    <row r="2192" spans="1:48" x14ac:dyDescent="0.4">
      <c r="A2192">
        <v>2313010290</v>
      </c>
      <c r="B2192">
        <v>2313010323</v>
      </c>
      <c r="C2192" t="str">
        <f>T("아저씨, 내 기분 왜 이래요? 34화")</f>
        <v>아저씨, 내 기분 왜 이래요? 34화</v>
      </c>
      <c r="D2192" t="str">
        <f>T("34")</f>
        <v>34</v>
      </c>
      <c r="E2192" t="str">
        <f t="shared" si="357"/>
        <v>Livingston</v>
      </c>
      <c r="H2192" t="str">
        <f t="shared" si="353"/>
        <v>스토리위즈</v>
      </c>
      <c r="I2192" t="str">
        <f t="shared" si="358"/>
        <v>아저씨, 내 기분 왜 이래요?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200</v>
      </c>
      <c r="AL2192">
        <v>0</v>
      </c>
      <c r="AM2192">
        <v>0</v>
      </c>
      <c r="AN2192">
        <v>0</v>
      </c>
      <c r="AO2192">
        <v>0</v>
      </c>
      <c r="AP2192">
        <v>140</v>
      </c>
      <c r="AT2192" t="str">
        <f t="shared" si="359"/>
        <v>9791166069482</v>
      </c>
      <c r="AV2192" t="str">
        <f t="shared" si="360"/>
        <v>로맨스 웹소설 &gt; 현대물</v>
      </c>
    </row>
    <row r="2193" spans="1:48" x14ac:dyDescent="0.4">
      <c r="A2193">
        <v>2313010290</v>
      </c>
      <c r="B2193">
        <v>2313010324</v>
      </c>
      <c r="C2193" t="str">
        <f>T("아저씨, 내 기분 왜 이래요? 35화")</f>
        <v>아저씨, 내 기분 왜 이래요? 35화</v>
      </c>
      <c r="D2193" t="str">
        <f>T("35")</f>
        <v>35</v>
      </c>
      <c r="E2193" t="str">
        <f t="shared" si="357"/>
        <v>Livingston</v>
      </c>
      <c r="H2193" t="str">
        <f t="shared" si="353"/>
        <v>스토리위즈</v>
      </c>
      <c r="I2193" t="str">
        <f t="shared" si="358"/>
        <v>아저씨, 내 기분 왜 이래요?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200</v>
      </c>
      <c r="AL2193">
        <v>0</v>
      </c>
      <c r="AM2193">
        <v>0</v>
      </c>
      <c r="AN2193">
        <v>0</v>
      </c>
      <c r="AO2193">
        <v>0</v>
      </c>
      <c r="AP2193">
        <v>140</v>
      </c>
      <c r="AT2193" t="str">
        <f t="shared" si="359"/>
        <v>9791166069482</v>
      </c>
      <c r="AV2193" t="str">
        <f t="shared" si="360"/>
        <v>로맨스 웹소설 &gt; 현대물</v>
      </c>
    </row>
    <row r="2194" spans="1:48" x14ac:dyDescent="0.4">
      <c r="A2194">
        <v>2313010290</v>
      </c>
      <c r="B2194">
        <v>2313010325</v>
      </c>
      <c r="C2194" t="str">
        <f>T("아저씨, 내 기분 왜 이래요? 36화")</f>
        <v>아저씨, 내 기분 왜 이래요? 36화</v>
      </c>
      <c r="D2194" t="str">
        <f>T("36")</f>
        <v>36</v>
      </c>
      <c r="E2194" t="str">
        <f t="shared" si="357"/>
        <v>Livingston</v>
      </c>
      <c r="H2194" t="str">
        <f t="shared" si="353"/>
        <v>스토리위즈</v>
      </c>
      <c r="I2194" t="str">
        <f t="shared" si="358"/>
        <v>아저씨, 내 기분 왜 이래요?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200</v>
      </c>
      <c r="AL2194">
        <v>0</v>
      </c>
      <c r="AM2194">
        <v>0</v>
      </c>
      <c r="AN2194">
        <v>0</v>
      </c>
      <c r="AO2194">
        <v>0</v>
      </c>
      <c r="AP2194">
        <v>140</v>
      </c>
      <c r="AT2194" t="str">
        <f t="shared" si="359"/>
        <v>9791166069482</v>
      </c>
      <c r="AV2194" t="str">
        <f t="shared" si="360"/>
        <v>로맨스 웹소설 &gt; 현대물</v>
      </c>
    </row>
    <row r="2195" spans="1:48" x14ac:dyDescent="0.4">
      <c r="A2195">
        <v>2313010290</v>
      </c>
      <c r="B2195">
        <v>2313010326</v>
      </c>
      <c r="C2195" t="str">
        <f>T("아저씨, 내 기분 왜 이래요? 37화")</f>
        <v>아저씨, 내 기분 왜 이래요? 37화</v>
      </c>
      <c r="D2195" t="str">
        <f>T("37")</f>
        <v>37</v>
      </c>
      <c r="E2195" t="str">
        <f t="shared" si="357"/>
        <v>Livingston</v>
      </c>
      <c r="H2195" t="str">
        <f t="shared" si="353"/>
        <v>스토리위즈</v>
      </c>
      <c r="I2195" t="str">
        <f t="shared" si="358"/>
        <v>아저씨, 내 기분 왜 이래요?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200</v>
      </c>
      <c r="AL2195">
        <v>0</v>
      </c>
      <c r="AM2195">
        <v>0</v>
      </c>
      <c r="AN2195">
        <v>0</v>
      </c>
      <c r="AO2195">
        <v>0</v>
      </c>
      <c r="AP2195">
        <v>140</v>
      </c>
      <c r="AT2195" t="str">
        <f t="shared" si="359"/>
        <v>9791166069482</v>
      </c>
      <c r="AV2195" t="str">
        <f t="shared" si="360"/>
        <v>로맨스 웹소설 &gt; 현대물</v>
      </c>
    </row>
    <row r="2196" spans="1:48" x14ac:dyDescent="0.4">
      <c r="A2196">
        <v>2313010290</v>
      </c>
      <c r="B2196">
        <v>2313010338</v>
      </c>
      <c r="C2196" t="str">
        <f>T("아저씨, 내 기분 왜 이래요? 49화")</f>
        <v>아저씨, 내 기분 왜 이래요? 49화</v>
      </c>
      <c r="D2196" t="str">
        <f>T("49")</f>
        <v>49</v>
      </c>
      <c r="E2196" t="str">
        <f t="shared" si="357"/>
        <v>Livingston</v>
      </c>
      <c r="H2196" t="str">
        <f t="shared" si="353"/>
        <v>스토리위즈</v>
      </c>
      <c r="I2196" t="str">
        <f t="shared" si="358"/>
        <v>아저씨, 내 기분 왜 이래요?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200</v>
      </c>
      <c r="AL2196">
        <v>0</v>
      </c>
      <c r="AM2196">
        <v>0</v>
      </c>
      <c r="AN2196">
        <v>0</v>
      </c>
      <c r="AO2196">
        <v>0</v>
      </c>
      <c r="AP2196">
        <v>140</v>
      </c>
      <c r="AT2196" t="str">
        <f t="shared" si="359"/>
        <v>9791166069482</v>
      </c>
      <c r="AV2196" t="str">
        <f t="shared" si="360"/>
        <v>로맨스 웹소설 &gt; 현대물</v>
      </c>
    </row>
    <row r="2197" spans="1:48" x14ac:dyDescent="0.4">
      <c r="A2197">
        <v>2313010290</v>
      </c>
      <c r="B2197">
        <v>2313010356</v>
      </c>
      <c r="C2197" t="str">
        <f>T("아저씨, 내 기분 왜 이래요? 67화")</f>
        <v>아저씨, 내 기분 왜 이래요? 67화</v>
      </c>
      <c r="D2197" t="str">
        <f>T("67")</f>
        <v>67</v>
      </c>
      <c r="E2197" t="str">
        <f t="shared" si="357"/>
        <v>Livingston</v>
      </c>
      <c r="H2197" t="str">
        <f t="shared" si="353"/>
        <v>스토리위즈</v>
      </c>
      <c r="I2197" t="str">
        <f t="shared" si="358"/>
        <v>아저씨, 내 기분 왜 이래요?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200</v>
      </c>
      <c r="AL2197">
        <v>0</v>
      </c>
      <c r="AM2197">
        <v>0</v>
      </c>
      <c r="AN2197">
        <v>0</v>
      </c>
      <c r="AO2197">
        <v>0</v>
      </c>
      <c r="AP2197">
        <v>140</v>
      </c>
      <c r="AT2197" t="str">
        <f t="shared" si="359"/>
        <v>9791166069482</v>
      </c>
      <c r="AV2197" t="str">
        <f t="shared" si="360"/>
        <v>로맨스 웹소설 &gt; 현대물</v>
      </c>
    </row>
    <row r="2198" spans="1:48" x14ac:dyDescent="0.4">
      <c r="A2198">
        <v>2313010290</v>
      </c>
      <c r="B2198">
        <v>2313010357</v>
      </c>
      <c r="C2198" t="str">
        <f>T("아저씨, 내 기분 왜 이래요? 68화")</f>
        <v>아저씨, 내 기분 왜 이래요? 68화</v>
      </c>
      <c r="D2198" t="str">
        <f>T("68")</f>
        <v>68</v>
      </c>
      <c r="E2198" t="str">
        <f t="shared" si="357"/>
        <v>Livingston</v>
      </c>
      <c r="H2198" t="str">
        <f t="shared" si="353"/>
        <v>스토리위즈</v>
      </c>
      <c r="I2198" t="str">
        <f t="shared" si="358"/>
        <v>아저씨, 내 기분 왜 이래요?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200</v>
      </c>
      <c r="AL2198">
        <v>0</v>
      </c>
      <c r="AM2198">
        <v>0</v>
      </c>
      <c r="AN2198">
        <v>0</v>
      </c>
      <c r="AO2198">
        <v>0</v>
      </c>
      <c r="AP2198">
        <v>140</v>
      </c>
      <c r="AT2198" t="str">
        <f t="shared" si="359"/>
        <v>9791166069482</v>
      </c>
      <c r="AV2198" t="str">
        <f t="shared" si="360"/>
        <v>로맨스 웹소설 &gt; 현대물</v>
      </c>
    </row>
    <row r="2199" spans="1:48" x14ac:dyDescent="0.4">
      <c r="A2199">
        <v>2313010290</v>
      </c>
      <c r="B2199">
        <v>2313010358</v>
      </c>
      <c r="C2199" t="str">
        <f>T("아저씨, 내 기분 왜 이래요? 69화")</f>
        <v>아저씨, 내 기분 왜 이래요? 69화</v>
      </c>
      <c r="D2199" t="str">
        <f>T("69")</f>
        <v>69</v>
      </c>
      <c r="E2199" t="str">
        <f t="shared" si="357"/>
        <v>Livingston</v>
      </c>
      <c r="H2199" t="str">
        <f t="shared" si="353"/>
        <v>스토리위즈</v>
      </c>
      <c r="I2199" t="str">
        <f t="shared" si="358"/>
        <v>아저씨, 내 기분 왜 이래요?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200</v>
      </c>
      <c r="AL2199">
        <v>0</v>
      </c>
      <c r="AM2199">
        <v>0</v>
      </c>
      <c r="AN2199">
        <v>0</v>
      </c>
      <c r="AO2199">
        <v>0</v>
      </c>
      <c r="AP2199">
        <v>140</v>
      </c>
      <c r="AT2199" t="str">
        <f t="shared" si="359"/>
        <v>9791166069482</v>
      </c>
      <c r="AV2199" t="str">
        <f t="shared" si="360"/>
        <v>로맨스 웹소설 &gt; 현대물</v>
      </c>
    </row>
    <row r="2200" spans="1:48" x14ac:dyDescent="0.4">
      <c r="A2200">
        <v>2313010290</v>
      </c>
      <c r="B2200">
        <v>2313010359</v>
      </c>
      <c r="C2200" t="str">
        <f>T("아저씨, 내 기분 왜 이래요? 70화")</f>
        <v>아저씨, 내 기분 왜 이래요? 70화</v>
      </c>
      <c r="D2200" t="str">
        <f>T("70")</f>
        <v>70</v>
      </c>
      <c r="E2200" t="str">
        <f t="shared" si="357"/>
        <v>Livingston</v>
      </c>
      <c r="H2200" t="str">
        <f t="shared" si="353"/>
        <v>스토리위즈</v>
      </c>
      <c r="I2200" t="str">
        <f t="shared" si="358"/>
        <v>아저씨, 내 기분 왜 이래요?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200</v>
      </c>
      <c r="AL2200">
        <v>0</v>
      </c>
      <c r="AM2200">
        <v>0</v>
      </c>
      <c r="AN2200">
        <v>0</v>
      </c>
      <c r="AO2200">
        <v>0</v>
      </c>
      <c r="AP2200">
        <v>140</v>
      </c>
      <c r="AT2200" t="str">
        <f t="shared" si="359"/>
        <v>9791166069482</v>
      </c>
      <c r="AV2200" t="str">
        <f t="shared" si="360"/>
        <v>로맨스 웹소설 &gt; 현대물</v>
      </c>
    </row>
    <row r="2201" spans="1:48" x14ac:dyDescent="0.4">
      <c r="A2201">
        <v>2313010290</v>
      </c>
      <c r="B2201">
        <v>2313010360</v>
      </c>
      <c r="C2201" t="str">
        <f>T("아저씨, 내 기분 왜 이래요? 71화")</f>
        <v>아저씨, 내 기분 왜 이래요? 71화</v>
      </c>
      <c r="D2201" t="str">
        <f>T("71")</f>
        <v>71</v>
      </c>
      <c r="E2201" t="str">
        <f t="shared" si="357"/>
        <v>Livingston</v>
      </c>
      <c r="H2201" t="str">
        <f t="shared" si="353"/>
        <v>스토리위즈</v>
      </c>
      <c r="I2201" t="str">
        <f t="shared" si="358"/>
        <v>아저씨, 내 기분 왜 이래요?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200</v>
      </c>
      <c r="AL2201">
        <v>0</v>
      </c>
      <c r="AM2201">
        <v>0</v>
      </c>
      <c r="AN2201">
        <v>0</v>
      </c>
      <c r="AO2201">
        <v>0</v>
      </c>
      <c r="AP2201">
        <v>140</v>
      </c>
      <c r="AT2201" t="str">
        <f t="shared" si="359"/>
        <v>9791166069482</v>
      </c>
      <c r="AV2201" t="str">
        <f t="shared" si="360"/>
        <v>로맨스 웹소설 &gt; 현대물</v>
      </c>
    </row>
    <row r="2202" spans="1:48" x14ac:dyDescent="0.4">
      <c r="A2202">
        <v>2313010290</v>
      </c>
      <c r="B2202">
        <v>2313010361</v>
      </c>
      <c r="C2202" t="str">
        <f>T("아저씨, 내 기분 왜 이래요? 72화")</f>
        <v>아저씨, 내 기분 왜 이래요? 72화</v>
      </c>
      <c r="D2202" t="str">
        <f>T("72")</f>
        <v>72</v>
      </c>
      <c r="E2202" t="str">
        <f t="shared" si="357"/>
        <v>Livingston</v>
      </c>
      <c r="H2202" t="str">
        <f t="shared" si="353"/>
        <v>스토리위즈</v>
      </c>
      <c r="I2202" t="str">
        <f t="shared" si="358"/>
        <v>아저씨, 내 기분 왜 이래요?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200</v>
      </c>
      <c r="AL2202">
        <v>0</v>
      </c>
      <c r="AM2202">
        <v>0</v>
      </c>
      <c r="AN2202">
        <v>0</v>
      </c>
      <c r="AO2202">
        <v>0</v>
      </c>
      <c r="AP2202">
        <v>140</v>
      </c>
      <c r="AT2202" t="str">
        <f t="shared" si="359"/>
        <v>9791166069482</v>
      </c>
      <c r="AV2202" t="str">
        <f t="shared" si="360"/>
        <v>로맨스 웹소설 &gt; 현대물</v>
      </c>
    </row>
    <row r="2203" spans="1:48" x14ac:dyDescent="0.4">
      <c r="A2203">
        <v>2313010585</v>
      </c>
      <c r="B2203">
        <v>2313010612</v>
      </c>
      <c r="C2203" t="str">
        <f>T("라스트 서바이버 28화")</f>
        <v>라스트 서바이버 28화</v>
      </c>
      <c r="D2203" t="str">
        <f>T("28")</f>
        <v>28</v>
      </c>
      <c r="E2203" t="str">
        <f t="shared" ref="E2203:E2208" si="361">T("청빙")</f>
        <v>청빙</v>
      </c>
      <c r="H2203" t="str">
        <f t="shared" si="353"/>
        <v>스토리위즈</v>
      </c>
      <c r="I2203" t="str">
        <f t="shared" ref="I2203:I2208" si="362">T("라스트 서바이버")</f>
        <v>라스트 서바이버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200</v>
      </c>
      <c r="AL2203">
        <v>0</v>
      </c>
      <c r="AM2203">
        <v>0</v>
      </c>
      <c r="AN2203">
        <v>0</v>
      </c>
      <c r="AO2203">
        <v>0</v>
      </c>
      <c r="AP2203">
        <v>140</v>
      </c>
      <c r="AT2203" t="str">
        <f t="shared" ref="AT2203:AT2208" si="363">T("9791137600119")</f>
        <v>9791137600119</v>
      </c>
      <c r="AV2203" t="str">
        <f t="shared" ref="AV2203:AV2208" si="364">T("판타지 웹소설 &gt; 퓨전 판타지")</f>
        <v>판타지 웹소설 &gt; 퓨전 판타지</v>
      </c>
    </row>
    <row r="2204" spans="1:48" x14ac:dyDescent="0.4">
      <c r="A2204">
        <v>2313010585</v>
      </c>
      <c r="B2204">
        <v>2313010613</v>
      </c>
      <c r="C2204" t="str">
        <f>T("라스트 서바이버 29화")</f>
        <v>라스트 서바이버 29화</v>
      </c>
      <c r="D2204" t="str">
        <f>T("29")</f>
        <v>29</v>
      </c>
      <c r="E2204" t="str">
        <f t="shared" si="361"/>
        <v>청빙</v>
      </c>
      <c r="H2204" t="str">
        <f t="shared" si="353"/>
        <v>스토리위즈</v>
      </c>
      <c r="I2204" t="str">
        <f t="shared" si="362"/>
        <v>라스트 서바이버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200</v>
      </c>
      <c r="AL2204">
        <v>0</v>
      </c>
      <c r="AM2204">
        <v>0</v>
      </c>
      <c r="AN2204">
        <v>0</v>
      </c>
      <c r="AO2204">
        <v>0</v>
      </c>
      <c r="AP2204">
        <v>140</v>
      </c>
      <c r="AT2204" t="str">
        <f t="shared" si="363"/>
        <v>9791137600119</v>
      </c>
      <c r="AV2204" t="str">
        <f t="shared" si="364"/>
        <v>판타지 웹소설 &gt; 퓨전 판타지</v>
      </c>
    </row>
    <row r="2205" spans="1:48" x14ac:dyDescent="0.4">
      <c r="A2205">
        <v>2313010585</v>
      </c>
      <c r="B2205">
        <v>2313010614</v>
      </c>
      <c r="C2205" t="str">
        <f>T("라스트 서바이버 30화")</f>
        <v>라스트 서바이버 30화</v>
      </c>
      <c r="D2205" t="str">
        <f>T("30")</f>
        <v>30</v>
      </c>
      <c r="E2205" t="str">
        <f t="shared" si="361"/>
        <v>청빙</v>
      </c>
      <c r="H2205" t="str">
        <f t="shared" si="353"/>
        <v>스토리위즈</v>
      </c>
      <c r="I2205" t="str">
        <f t="shared" si="362"/>
        <v>라스트 서바이버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200</v>
      </c>
      <c r="AL2205">
        <v>0</v>
      </c>
      <c r="AM2205">
        <v>0</v>
      </c>
      <c r="AN2205">
        <v>0</v>
      </c>
      <c r="AO2205">
        <v>0</v>
      </c>
      <c r="AP2205">
        <v>140</v>
      </c>
      <c r="AT2205" t="str">
        <f t="shared" si="363"/>
        <v>9791137600119</v>
      </c>
      <c r="AV2205" t="str">
        <f t="shared" si="364"/>
        <v>판타지 웹소설 &gt; 퓨전 판타지</v>
      </c>
    </row>
    <row r="2206" spans="1:48" x14ac:dyDescent="0.4">
      <c r="A2206">
        <v>2313010585</v>
      </c>
      <c r="B2206">
        <v>2313010615</v>
      </c>
      <c r="C2206" t="str">
        <f>T("라스트 서바이버 31화")</f>
        <v>라스트 서바이버 31화</v>
      </c>
      <c r="D2206" t="str">
        <f>T("31")</f>
        <v>31</v>
      </c>
      <c r="E2206" t="str">
        <f t="shared" si="361"/>
        <v>청빙</v>
      </c>
      <c r="H2206" t="str">
        <f t="shared" si="353"/>
        <v>스토리위즈</v>
      </c>
      <c r="I2206" t="str">
        <f t="shared" si="362"/>
        <v>라스트 서바이버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200</v>
      </c>
      <c r="AL2206">
        <v>0</v>
      </c>
      <c r="AM2206">
        <v>0</v>
      </c>
      <c r="AN2206">
        <v>0</v>
      </c>
      <c r="AO2206">
        <v>0</v>
      </c>
      <c r="AP2206">
        <v>140</v>
      </c>
      <c r="AT2206" t="str">
        <f t="shared" si="363"/>
        <v>9791137600119</v>
      </c>
      <c r="AV2206" t="str">
        <f t="shared" si="364"/>
        <v>판타지 웹소설 &gt; 퓨전 판타지</v>
      </c>
    </row>
    <row r="2207" spans="1:48" x14ac:dyDescent="0.4">
      <c r="A2207">
        <v>2313010585</v>
      </c>
      <c r="B2207">
        <v>2313010616</v>
      </c>
      <c r="C2207" t="str">
        <f>T("라스트 서바이버 32화")</f>
        <v>라스트 서바이버 32화</v>
      </c>
      <c r="D2207" t="str">
        <f>T("32")</f>
        <v>32</v>
      </c>
      <c r="E2207" t="str">
        <f t="shared" si="361"/>
        <v>청빙</v>
      </c>
      <c r="H2207" t="str">
        <f t="shared" si="353"/>
        <v>스토리위즈</v>
      </c>
      <c r="I2207" t="str">
        <f t="shared" si="362"/>
        <v>라스트 서바이버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200</v>
      </c>
      <c r="AL2207">
        <v>0</v>
      </c>
      <c r="AM2207">
        <v>0</v>
      </c>
      <c r="AN2207">
        <v>0</v>
      </c>
      <c r="AO2207">
        <v>0</v>
      </c>
      <c r="AP2207">
        <v>140</v>
      </c>
      <c r="AT2207" t="str">
        <f t="shared" si="363"/>
        <v>9791137600119</v>
      </c>
      <c r="AV2207" t="str">
        <f t="shared" si="364"/>
        <v>판타지 웹소설 &gt; 퓨전 판타지</v>
      </c>
    </row>
    <row r="2208" spans="1:48" x14ac:dyDescent="0.4">
      <c r="A2208">
        <v>2313010585</v>
      </c>
      <c r="B2208">
        <v>2313010617</v>
      </c>
      <c r="C2208" t="str">
        <f>T("라스트 서바이버 33화")</f>
        <v>라스트 서바이버 33화</v>
      </c>
      <c r="D2208" t="str">
        <f>T("33")</f>
        <v>33</v>
      </c>
      <c r="E2208" t="str">
        <f t="shared" si="361"/>
        <v>청빙</v>
      </c>
      <c r="H2208" t="str">
        <f t="shared" si="353"/>
        <v>스토리위즈</v>
      </c>
      <c r="I2208" t="str">
        <f t="shared" si="362"/>
        <v>라스트 서바이버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200</v>
      </c>
      <c r="AL2208">
        <v>0</v>
      </c>
      <c r="AM2208">
        <v>0</v>
      </c>
      <c r="AN2208">
        <v>0</v>
      </c>
      <c r="AO2208">
        <v>0</v>
      </c>
      <c r="AP2208">
        <v>140</v>
      </c>
      <c r="AT2208" t="str">
        <f t="shared" si="363"/>
        <v>9791137600119</v>
      </c>
      <c r="AV2208" t="str">
        <f t="shared" si="364"/>
        <v>판타지 웹소설 &gt; 퓨전 판타지</v>
      </c>
    </row>
    <row r="2209" spans="1:48" x14ac:dyDescent="0.4">
      <c r="A2209">
        <v>2313011400</v>
      </c>
      <c r="B2209">
        <v>2313011488</v>
      </c>
      <c r="C2209" t="str">
        <f>T("최종 보스 5권 2화")</f>
        <v>최종 보스 5권 2화</v>
      </c>
      <c r="D2209" t="str">
        <f>T("89")</f>
        <v>89</v>
      </c>
      <c r="E2209" t="str">
        <f t="shared" ref="E2209:E2272" si="365">T("무장")</f>
        <v>무장</v>
      </c>
      <c r="H2209" t="str">
        <f t="shared" si="353"/>
        <v>스토리위즈</v>
      </c>
      <c r="I2209" t="str">
        <f t="shared" ref="I2209:I2272" si="366">T("최종 보스 : 빛을 향해 달리는 그림자")</f>
        <v>최종 보스 : 빛을 향해 달리는 그림자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200</v>
      </c>
      <c r="AL2209">
        <v>0</v>
      </c>
      <c r="AM2209">
        <v>0</v>
      </c>
      <c r="AN2209">
        <v>0</v>
      </c>
      <c r="AO2209">
        <v>0</v>
      </c>
      <c r="AP2209">
        <v>140</v>
      </c>
      <c r="AT2209" t="str">
        <f t="shared" ref="AT2209:AT2272" si="367">T("9791166067563")</f>
        <v>9791166067563</v>
      </c>
      <c r="AV2209" t="str">
        <f t="shared" ref="AV2209:AV2272" si="368">T("판타지 웹소설 &gt; 현대 판타지")</f>
        <v>판타지 웹소설 &gt; 현대 판타지</v>
      </c>
    </row>
    <row r="2210" spans="1:48" x14ac:dyDescent="0.4">
      <c r="A2210">
        <v>2313011400</v>
      </c>
      <c r="B2210">
        <v>2313011489</v>
      </c>
      <c r="C2210" t="str">
        <f>T("최종 보스 5권 3화")</f>
        <v>최종 보스 5권 3화</v>
      </c>
      <c r="D2210" t="str">
        <f>T("90")</f>
        <v>90</v>
      </c>
      <c r="E2210" t="str">
        <f t="shared" si="365"/>
        <v>무장</v>
      </c>
      <c r="H2210" t="str">
        <f t="shared" si="353"/>
        <v>스토리위즈</v>
      </c>
      <c r="I2210" t="str">
        <f t="shared" si="366"/>
        <v>최종 보스 : 빛을 향해 달리는 그림자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200</v>
      </c>
      <c r="AL2210">
        <v>0</v>
      </c>
      <c r="AM2210">
        <v>0</v>
      </c>
      <c r="AN2210">
        <v>0</v>
      </c>
      <c r="AO2210">
        <v>0</v>
      </c>
      <c r="AP2210">
        <v>140</v>
      </c>
      <c r="AT2210" t="str">
        <f t="shared" si="367"/>
        <v>9791166067563</v>
      </c>
      <c r="AV2210" t="str">
        <f t="shared" si="368"/>
        <v>판타지 웹소설 &gt; 현대 판타지</v>
      </c>
    </row>
    <row r="2211" spans="1:48" x14ac:dyDescent="0.4">
      <c r="A2211">
        <v>2313011400</v>
      </c>
      <c r="B2211">
        <v>2313011490</v>
      </c>
      <c r="C2211" t="str">
        <f>T("최종 보스 5권 4화")</f>
        <v>최종 보스 5권 4화</v>
      </c>
      <c r="D2211" t="str">
        <f>T("91")</f>
        <v>91</v>
      </c>
      <c r="E2211" t="str">
        <f t="shared" si="365"/>
        <v>무장</v>
      </c>
      <c r="H2211" t="str">
        <f t="shared" ref="H2211:H2274" si="369">T("스토리위즈")</f>
        <v>스토리위즈</v>
      </c>
      <c r="I2211" t="str">
        <f t="shared" si="366"/>
        <v>최종 보스 : 빛을 향해 달리는 그림자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200</v>
      </c>
      <c r="AL2211">
        <v>0</v>
      </c>
      <c r="AM2211">
        <v>0</v>
      </c>
      <c r="AN2211">
        <v>0</v>
      </c>
      <c r="AO2211">
        <v>0</v>
      </c>
      <c r="AP2211">
        <v>140</v>
      </c>
      <c r="AT2211" t="str">
        <f t="shared" si="367"/>
        <v>9791166067563</v>
      </c>
      <c r="AV2211" t="str">
        <f t="shared" si="368"/>
        <v>판타지 웹소설 &gt; 현대 판타지</v>
      </c>
    </row>
    <row r="2212" spans="1:48" x14ac:dyDescent="0.4">
      <c r="A2212">
        <v>2313011400</v>
      </c>
      <c r="B2212">
        <v>2313011491</v>
      </c>
      <c r="C2212" t="str">
        <f>T("최종 보스 5권 5화")</f>
        <v>최종 보스 5권 5화</v>
      </c>
      <c r="D2212" t="str">
        <f>T("92")</f>
        <v>92</v>
      </c>
      <c r="E2212" t="str">
        <f t="shared" si="365"/>
        <v>무장</v>
      </c>
      <c r="H2212" t="str">
        <f t="shared" si="369"/>
        <v>스토리위즈</v>
      </c>
      <c r="I2212" t="str">
        <f t="shared" si="366"/>
        <v>최종 보스 : 빛을 향해 달리는 그림자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200</v>
      </c>
      <c r="AL2212">
        <v>0</v>
      </c>
      <c r="AM2212">
        <v>0</v>
      </c>
      <c r="AN2212">
        <v>0</v>
      </c>
      <c r="AO2212">
        <v>0</v>
      </c>
      <c r="AP2212">
        <v>140</v>
      </c>
      <c r="AT2212" t="str">
        <f t="shared" si="367"/>
        <v>9791166067563</v>
      </c>
      <c r="AV2212" t="str">
        <f t="shared" si="368"/>
        <v>판타지 웹소설 &gt; 현대 판타지</v>
      </c>
    </row>
    <row r="2213" spans="1:48" x14ac:dyDescent="0.4">
      <c r="A2213">
        <v>2313011400</v>
      </c>
      <c r="B2213">
        <v>2313011492</v>
      </c>
      <c r="C2213" t="str">
        <f>T("최종 보스 5권 6화")</f>
        <v>최종 보스 5권 6화</v>
      </c>
      <c r="D2213" t="str">
        <f>T("93")</f>
        <v>93</v>
      </c>
      <c r="E2213" t="str">
        <f t="shared" si="365"/>
        <v>무장</v>
      </c>
      <c r="H2213" t="str">
        <f t="shared" si="369"/>
        <v>스토리위즈</v>
      </c>
      <c r="I2213" t="str">
        <f t="shared" si="366"/>
        <v>최종 보스 : 빛을 향해 달리는 그림자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200</v>
      </c>
      <c r="AL2213">
        <v>0</v>
      </c>
      <c r="AM2213">
        <v>0</v>
      </c>
      <c r="AN2213">
        <v>0</v>
      </c>
      <c r="AO2213">
        <v>0</v>
      </c>
      <c r="AP2213">
        <v>140</v>
      </c>
      <c r="AT2213" t="str">
        <f t="shared" si="367"/>
        <v>9791166067563</v>
      </c>
      <c r="AV2213" t="str">
        <f t="shared" si="368"/>
        <v>판타지 웹소설 &gt; 현대 판타지</v>
      </c>
    </row>
    <row r="2214" spans="1:48" x14ac:dyDescent="0.4">
      <c r="A2214">
        <v>2313011400</v>
      </c>
      <c r="B2214">
        <v>2313011493</v>
      </c>
      <c r="C2214" t="str">
        <f>T("최종 보스 5권 7화")</f>
        <v>최종 보스 5권 7화</v>
      </c>
      <c r="D2214" t="str">
        <f>T("94")</f>
        <v>94</v>
      </c>
      <c r="E2214" t="str">
        <f t="shared" si="365"/>
        <v>무장</v>
      </c>
      <c r="H2214" t="str">
        <f t="shared" si="369"/>
        <v>스토리위즈</v>
      </c>
      <c r="I2214" t="str">
        <f t="shared" si="366"/>
        <v>최종 보스 : 빛을 향해 달리는 그림자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200</v>
      </c>
      <c r="AL2214">
        <v>0</v>
      </c>
      <c r="AM2214">
        <v>0</v>
      </c>
      <c r="AN2214">
        <v>0</v>
      </c>
      <c r="AO2214">
        <v>0</v>
      </c>
      <c r="AP2214">
        <v>140</v>
      </c>
      <c r="AT2214" t="str">
        <f t="shared" si="367"/>
        <v>9791166067563</v>
      </c>
      <c r="AV2214" t="str">
        <f t="shared" si="368"/>
        <v>판타지 웹소설 &gt; 현대 판타지</v>
      </c>
    </row>
    <row r="2215" spans="1:48" x14ac:dyDescent="0.4">
      <c r="A2215">
        <v>2313011400</v>
      </c>
      <c r="B2215">
        <v>2313011494</v>
      </c>
      <c r="C2215" t="str">
        <f>T("최종 보스 5권 8화")</f>
        <v>최종 보스 5권 8화</v>
      </c>
      <c r="D2215" t="str">
        <f>T("95")</f>
        <v>95</v>
      </c>
      <c r="E2215" t="str">
        <f t="shared" si="365"/>
        <v>무장</v>
      </c>
      <c r="H2215" t="str">
        <f t="shared" si="369"/>
        <v>스토리위즈</v>
      </c>
      <c r="I2215" t="str">
        <f t="shared" si="366"/>
        <v>최종 보스 : 빛을 향해 달리는 그림자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200</v>
      </c>
      <c r="AL2215">
        <v>0</v>
      </c>
      <c r="AM2215">
        <v>0</v>
      </c>
      <c r="AN2215">
        <v>0</v>
      </c>
      <c r="AO2215">
        <v>0</v>
      </c>
      <c r="AP2215">
        <v>140</v>
      </c>
      <c r="AT2215" t="str">
        <f t="shared" si="367"/>
        <v>9791166067563</v>
      </c>
      <c r="AV2215" t="str">
        <f t="shared" si="368"/>
        <v>판타지 웹소설 &gt; 현대 판타지</v>
      </c>
    </row>
    <row r="2216" spans="1:48" x14ac:dyDescent="0.4">
      <c r="A2216">
        <v>2313011400</v>
      </c>
      <c r="B2216">
        <v>2313011495</v>
      </c>
      <c r="C2216" t="str">
        <f>T("최종 보스 5권 9화")</f>
        <v>최종 보스 5권 9화</v>
      </c>
      <c r="D2216" t="str">
        <f>T("96")</f>
        <v>96</v>
      </c>
      <c r="E2216" t="str">
        <f t="shared" si="365"/>
        <v>무장</v>
      </c>
      <c r="H2216" t="str">
        <f t="shared" si="369"/>
        <v>스토리위즈</v>
      </c>
      <c r="I2216" t="str">
        <f t="shared" si="366"/>
        <v>최종 보스 : 빛을 향해 달리는 그림자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200</v>
      </c>
      <c r="AL2216">
        <v>0</v>
      </c>
      <c r="AM2216">
        <v>0</v>
      </c>
      <c r="AN2216">
        <v>0</v>
      </c>
      <c r="AO2216">
        <v>0</v>
      </c>
      <c r="AP2216">
        <v>140</v>
      </c>
      <c r="AT2216" t="str">
        <f t="shared" si="367"/>
        <v>9791166067563</v>
      </c>
      <c r="AV2216" t="str">
        <f t="shared" si="368"/>
        <v>판타지 웹소설 &gt; 현대 판타지</v>
      </c>
    </row>
    <row r="2217" spans="1:48" x14ac:dyDescent="0.4">
      <c r="A2217">
        <v>2313011400</v>
      </c>
      <c r="B2217">
        <v>2313011496</v>
      </c>
      <c r="C2217" t="str">
        <f>T("최종 보스 5권 10화")</f>
        <v>최종 보스 5권 10화</v>
      </c>
      <c r="D2217" t="str">
        <f>T("97")</f>
        <v>97</v>
      </c>
      <c r="E2217" t="str">
        <f t="shared" si="365"/>
        <v>무장</v>
      </c>
      <c r="H2217" t="str">
        <f t="shared" si="369"/>
        <v>스토리위즈</v>
      </c>
      <c r="I2217" t="str">
        <f t="shared" si="366"/>
        <v>최종 보스 : 빛을 향해 달리는 그림자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200</v>
      </c>
      <c r="AL2217">
        <v>0</v>
      </c>
      <c r="AM2217">
        <v>0</v>
      </c>
      <c r="AN2217">
        <v>0</v>
      </c>
      <c r="AO2217">
        <v>0</v>
      </c>
      <c r="AP2217">
        <v>140</v>
      </c>
      <c r="AT2217" t="str">
        <f t="shared" si="367"/>
        <v>9791166067563</v>
      </c>
      <c r="AV2217" t="str">
        <f t="shared" si="368"/>
        <v>판타지 웹소설 &gt; 현대 판타지</v>
      </c>
    </row>
    <row r="2218" spans="1:48" x14ac:dyDescent="0.4">
      <c r="A2218">
        <v>2313011400</v>
      </c>
      <c r="B2218">
        <v>2313011497</v>
      </c>
      <c r="C2218" t="str">
        <f>T("최종 보스 5권 11화")</f>
        <v>최종 보스 5권 11화</v>
      </c>
      <c r="D2218" t="str">
        <f>T("98")</f>
        <v>98</v>
      </c>
      <c r="E2218" t="str">
        <f t="shared" si="365"/>
        <v>무장</v>
      </c>
      <c r="H2218" t="str">
        <f t="shared" si="369"/>
        <v>스토리위즈</v>
      </c>
      <c r="I2218" t="str">
        <f t="shared" si="366"/>
        <v>최종 보스 : 빛을 향해 달리는 그림자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200</v>
      </c>
      <c r="AL2218">
        <v>0</v>
      </c>
      <c r="AM2218">
        <v>0</v>
      </c>
      <c r="AN2218">
        <v>0</v>
      </c>
      <c r="AO2218">
        <v>0</v>
      </c>
      <c r="AP2218">
        <v>140</v>
      </c>
      <c r="AT2218" t="str">
        <f t="shared" si="367"/>
        <v>9791166067563</v>
      </c>
      <c r="AV2218" t="str">
        <f t="shared" si="368"/>
        <v>판타지 웹소설 &gt; 현대 판타지</v>
      </c>
    </row>
    <row r="2219" spans="1:48" x14ac:dyDescent="0.4">
      <c r="A2219">
        <v>2313011400</v>
      </c>
      <c r="B2219">
        <v>2313011498</v>
      </c>
      <c r="C2219" t="str">
        <f>T("최종 보스 5권 12화")</f>
        <v>최종 보스 5권 12화</v>
      </c>
      <c r="D2219" t="str">
        <f>T("99")</f>
        <v>99</v>
      </c>
      <c r="E2219" t="str">
        <f t="shared" si="365"/>
        <v>무장</v>
      </c>
      <c r="H2219" t="str">
        <f t="shared" si="369"/>
        <v>스토리위즈</v>
      </c>
      <c r="I2219" t="str">
        <f t="shared" si="366"/>
        <v>최종 보스 : 빛을 향해 달리는 그림자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200</v>
      </c>
      <c r="AL2219">
        <v>0</v>
      </c>
      <c r="AM2219">
        <v>0</v>
      </c>
      <c r="AN2219">
        <v>0</v>
      </c>
      <c r="AO2219">
        <v>0</v>
      </c>
      <c r="AP2219">
        <v>140</v>
      </c>
      <c r="AT2219" t="str">
        <f t="shared" si="367"/>
        <v>9791166067563</v>
      </c>
      <c r="AV2219" t="str">
        <f t="shared" si="368"/>
        <v>판타지 웹소설 &gt; 현대 판타지</v>
      </c>
    </row>
    <row r="2220" spans="1:48" x14ac:dyDescent="0.4">
      <c r="A2220">
        <v>2313011400</v>
      </c>
      <c r="B2220">
        <v>2313011499</v>
      </c>
      <c r="C2220" t="str">
        <f>T("최종 보스 5권 13화")</f>
        <v>최종 보스 5권 13화</v>
      </c>
      <c r="D2220" t="str">
        <f>T("100")</f>
        <v>100</v>
      </c>
      <c r="E2220" t="str">
        <f t="shared" si="365"/>
        <v>무장</v>
      </c>
      <c r="H2220" t="str">
        <f t="shared" si="369"/>
        <v>스토리위즈</v>
      </c>
      <c r="I2220" t="str">
        <f t="shared" si="366"/>
        <v>최종 보스 : 빛을 향해 달리는 그림자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200</v>
      </c>
      <c r="AL2220">
        <v>0</v>
      </c>
      <c r="AM2220">
        <v>0</v>
      </c>
      <c r="AN2220">
        <v>0</v>
      </c>
      <c r="AO2220">
        <v>0</v>
      </c>
      <c r="AP2220">
        <v>140</v>
      </c>
      <c r="AT2220" t="str">
        <f t="shared" si="367"/>
        <v>9791166067563</v>
      </c>
      <c r="AV2220" t="str">
        <f t="shared" si="368"/>
        <v>판타지 웹소설 &gt; 현대 판타지</v>
      </c>
    </row>
    <row r="2221" spans="1:48" x14ac:dyDescent="0.4">
      <c r="A2221">
        <v>2313011400</v>
      </c>
      <c r="B2221">
        <v>2313011500</v>
      </c>
      <c r="C2221" t="str">
        <f>T("최종 보스 5권 14화")</f>
        <v>최종 보스 5권 14화</v>
      </c>
      <c r="D2221" t="str">
        <f>T("101")</f>
        <v>101</v>
      </c>
      <c r="E2221" t="str">
        <f t="shared" si="365"/>
        <v>무장</v>
      </c>
      <c r="H2221" t="str">
        <f t="shared" si="369"/>
        <v>스토리위즈</v>
      </c>
      <c r="I2221" t="str">
        <f t="shared" si="366"/>
        <v>최종 보스 : 빛을 향해 달리는 그림자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200</v>
      </c>
      <c r="AL2221">
        <v>0</v>
      </c>
      <c r="AM2221">
        <v>0</v>
      </c>
      <c r="AN2221">
        <v>0</v>
      </c>
      <c r="AO2221">
        <v>0</v>
      </c>
      <c r="AP2221">
        <v>140</v>
      </c>
      <c r="AT2221" t="str">
        <f t="shared" si="367"/>
        <v>9791166067563</v>
      </c>
      <c r="AV2221" t="str">
        <f t="shared" si="368"/>
        <v>판타지 웹소설 &gt; 현대 판타지</v>
      </c>
    </row>
    <row r="2222" spans="1:48" x14ac:dyDescent="0.4">
      <c r="A2222">
        <v>2313011400</v>
      </c>
      <c r="B2222">
        <v>2313011501</v>
      </c>
      <c r="C2222" t="str">
        <f>T("최종 보스 5권 15화")</f>
        <v>최종 보스 5권 15화</v>
      </c>
      <c r="D2222" t="str">
        <f>T("102")</f>
        <v>102</v>
      </c>
      <c r="E2222" t="str">
        <f t="shared" si="365"/>
        <v>무장</v>
      </c>
      <c r="H2222" t="str">
        <f t="shared" si="369"/>
        <v>스토리위즈</v>
      </c>
      <c r="I2222" t="str">
        <f t="shared" si="366"/>
        <v>최종 보스 : 빛을 향해 달리는 그림자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200</v>
      </c>
      <c r="AL2222">
        <v>0</v>
      </c>
      <c r="AM2222">
        <v>0</v>
      </c>
      <c r="AN2222">
        <v>0</v>
      </c>
      <c r="AO2222">
        <v>0</v>
      </c>
      <c r="AP2222">
        <v>140</v>
      </c>
      <c r="AT2222" t="str">
        <f t="shared" si="367"/>
        <v>9791166067563</v>
      </c>
      <c r="AV2222" t="str">
        <f t="shared" si="368"/>
        <v>판타지 웹소설 &gt; 현대 판타지</v>
      </c>
    </row>
    <row r="2223" spans="1:48" x14ac:dyDescent="0.4">
      <c r="A2223">
        <v>2313011400</v>
      </c>
      <c r="B2223">
        <v>2313011502</v>
      </c>
      <c r="C2223" t="str">
        <f>T("최종 보스 5권 16화")</f>
        <v>최종 보스 5권 16화</v>
      </c>
      <c r="D2223" t="str">
        <f>T("103")</f>
        <v>103</v>
      </c>
      <c r="E2223" t="str">
        <f t="shared" si="365"/>
        <v>무장</v>
      </c>
      <c r="H2223" t="str">
        <f t="shared" si="369"/>
        <v>스토리위즈</v>
      </c>
      <c r="I2223" t="str">
        <f t="shared" si="366"/>
        <v>최종 보스 : 빛을 향해 달리는 그림자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200</v>
      </c>
      <c r="AL2223">
        <v>0</v>
      </c>
      <c r="AM2223">
        <v>0</v>
      </c>
      <c r="AN2223">
        <v>0</v>
      </c>
      <c r="AO2223">
        <v>0</v>
      </c>
      <c r="AP2223">
        <v>140</v>
      </c>
      <c r="AT2223" t="str">
        <f t="shared" si="367"/>
        <v>9791166067563</v>
      </c>
      <c r="AV2223" t="str">
        <f t="shared" si="368"/>
        <v>판타지 웹소설 &gt; 현대 판타지</v>
      </c>
    </row>
    <row r="2224" spans="1:48" x14ac:dyDescent="0.4">
      <c r="A2224">
        <v>2313011400</v>
      </c>
      <c r="B2224">
        <v>2313011503</v>
      </c>
      <c r="C2224" t="str">
        <f>T("최종 보스 5권 17화")</f>
        <v>최종 보스 5권 17화</v>
      </c>
      <c r="D2224" t="str">
        <f>T("104")</f>
        <v>104</v>
      </c>
      <c r="E2224" t="str">
        <f t="shared" si="365"/>
        <v>무장</v>
      </c>
      <c r="H2224" t="str">
        <f t="shared" si="369"/>
        <v>스토리위즈</v>
      </c>
      <c r="I2224" t="str">
        <f t="shared" si="366"/>
        <v>최종 보스 : 빛을 향해 달리는 그림자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200</v>
      </c>
      <c r="AL2224">
        <v>0</v>
      </c>
      <c r="AM2224">
        <v>0</v>
      </c>
      <c r="AN2224">
        <v>0</v>
      </c>
      <c r="AO2224">
        <v>0</v>
      </c>
      <c r="AP2224">
        <v>140</v>
      </c>
      <c r="AT2224" t="str">
        <f t="shared" si="367"/>
        <v>9791166067563</v>
      </c>
      <c r="AV2224" t="str">
        <f t="shared" si="368"/>
        <v>판타지 웹소설 &gt; 현대 판타지</v>
      </c>
    </row>
    <row r="2225" spans="1:48" x14ac:dyDescent="0.4">
      <c r="A2225">
        <v>2313011400</v>
      </c>
      <c r="B2225">
        <v>2313011504</v>
      </c>
      <c r="C2225" t="str">
        <f>T("최종 보스 5권 18화")</f>
        <v>최종 보스 5권 18화</v>
      </c>
      <c r="D2225" t="str">
        <f>T("105")</f>
        <v>105</v>
      </c>
      <c r="E2225" t="str">
        <f t="shared" si="365"/>
        <v>무장</v>
      </c>
      <c r="H2225" t="str">
        <f t="shared" si="369"/>
        <v>스토리위즈</v>
      </c>
      <c r="I2225" t="str">
        <f t="shared" si="366"/>
        <v>최종 보스 : 빛을 향해 달리는 그림자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200</v>
      </c>
      <c r="AL2225">
        <v>0</v>
      </c>
      <c r="AM2225">
        <v>0</v>
      </c>
      <c r="AN2225">
        <v>0</v>
      </c>
      <c r="AO2225">
        <v>0</v>
      </c>
      <c r="AP2225">
        <v>140</v>
      </c>
      <c r="AT2225" t="str">
        <f t="shared" si="367"/>
        <v>9791166067563</v>
      </c>
      <c r="AV2225" t="str">
        <f t="shared" si="368"/>
        <v>판타지 웹소설 &gt; 현대 판타지</v>
      </c>
    </row>
    <row r="2226" spans="1:48" x14ac:dyDescent="0.4">
      <c r="A2226">
        <v>2313011400</v>
      </c>
      <c r="B2226">
        <v>2313011505</v>
      </c>
      <c r="C2226" t="str">
        <f>T("최종 보스 5권 19화")</f>
        <v>최종 보스 5권 19화</v>
      </c>
      <c r="D2226" t="str">
        <f>T("106")</f>
        <v>106</v>
      </c>
      <c r="E2226" t="str">
        <f t="shared" si="365"/>
        <v>무장</v>
      </c>
      <c r="H2226" t="str">
        <f t="shared" si="369"/>
        <v>스토리위즈</v>
      </c>
      <c r="I2226" t="str">
        <f t="shared" si="366"/>
        <v>최종 보스 : 빛을 향해 달리는 그림자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200</v>
      </c>
      <c r="AL2226">
        <v>0</v>
      </c>
      <c r="AM2226">
        <v>0</v>
      </c>
      <c r="AN2226">
        <v>0</v>
      </c>
      <c r="AO2226">
        <v>0</v>
      </c>
      <c r="AP2226">
        <v>140</v>
      </c>
      <c r="AT2226" t="str">
        <f t="shared" si="367"/>
        <v>9791166067563</v>
      </c>
      <c r="AV2226" t="str">
        <f t="shared" si="368"/>
        <v>판타지 웹소설 &gt; 현대 판타지</v>
      </c>
    </row>
    <row r="2227" spans="1:48" x14ac:dyDescent="0.4">
      <c r="A2227">
        <v>2313011400</v>
      </c>
      <c r="B2227">
        <v>2313011506</v>
      </c>
      <c r="C2227" t="str">
        <f>T("최종 보스 5권 20화")</f>
        <v>최종 보스 5권 20화</v>
      </c>
      <c r="D2227" t="str">
        <f>T("107")</f>
        <v>107</v>
      </c>
      <c r="E2227" t="str">
        <f t="shared" si="365"/>
        <v>무장</v>
      </c>
      <c r="H2227" t="str">
        <f t="shared" si="369"/>
        <v>스토리위즈</v>
      </c>
      <c r="I2227" t="str">
        <f t="shared" si="366"/>
        <v>최종 보스 : 빛을 향해 달리는 그림자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0</v>
      </c>
      <c r="AP2227">
        <v>140</v>
      </c>
      <c r="AT2227" t="str">
        <f t="shared" si="367"/>
        <v>9791166067563</v>
      </c>
      <c r="AV2227" t="str">
        <f t="shared" si="368"/>
        <v>판타지 웹소설 &gt; 현대 판타지</v>
      </c>
    </row>
    <row r="2228" spans="1:48" x14ac:dyDescent="0.4">
      <c r="A2228">
        <v>2313011400</v>
      </c>
      <c r="B2228">
        <v>2313011507</v>
      </c>
      <c r="C2228" t="str">
        <f>T("최종 보스 5권 21화")</f>
        <v>최종 보스 5권 21화</v>
      </c>
      <c r="D2228" t="str">
        <f>T("108")</f>
        <v>108</v>
      </c>
      <c r="E2228" t="str">
        <f t="shared" si="365"/>
        <v>무장</v>
      </c>
      <c r="H2228" t="str">
        <f t="shared" si="369"/>
        <v>스토리위즈</v>
      </c>
      <c r="I2228" t="str">
        <f t="shared" si="366"/>
        <v>최종 보스 : 빛을 향해 달리는 그림자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200</v>
      </c>
      <c r="AL2228">
        <v>0</v>
      </c>
      <c r="AM2228">
        <v>0</v>
      </c>
      <c r="AN2228">
        <v>0</v>
      </c>
      <c r="AO2228">
        <v>0</v>
      </c>
      <c r="AP2228">
        <v>140</v>
      </c>
      <c r="AT2228" t="str">
        <f t="shared" si="367"/>
        <v>9791166067563</v>
      </c>
      <c r="AV2228" t="str">
        <f t="shared" si="368"/>
        <v>판타지 웹소설 &gt; 현대 판타지</v>
      </c>
    </row>
    <row r="2229" spans="1:48" x14ac:dyDescent="0.4">
      <c r="A2229">
        <v>2313011400</v>
      </c>
      <c r="B2229">
        <v>2313011508</v>
      </c>
      <c r="C2229" t="str">
        <f>T("최종 보스 6권 1화")</f>
        <v>최종 보스 6권 1화</v>
      </c>
      <c r="D2229" t="str">
        <f>T("109")</f>
        <v>109</v>
      </c>
      <c r="E2229" t="str">
        <f t="shared" si="365"/>
        <v>무장</v>
      </c>
      <c r="H2229" t="str">
        <f t="shared" si="369"/>
        <v>스토리위즈</v>
      </c>
      <c r="I2229" t="str">
        <f t="shared" si="366"/>
        <v>최종 보스 : 빛을 향해 달리는 그림자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200</v>
      </c>
      <c r="AL2229">
        <v>0</v>
      </c>
      <c r="AM2229">
        <v>0</v>
      </c>
      <c r="AN2229">
        <v>0</v>
      </c>
      <c r="AO2229">
        <v>0</v>
      </c>
      <c r="AP2229">
        <v>140</v>
      </c>
      <c r="AT2229" t="str">
        <f t="shared" si="367"/>
        <v>9791166067563</v>
      </c>
      <c r="AV2229" t="str">
        <f t="shared" si="368"/>
        <v>판타지 웹소설 &gt; 현대 판타지</v>
      </c>
    </row>
    <row r="2230" spans="1:48" x14ac:dyDescent="0.4">
      <c r="A2230">
        <v>2313011400</v>
      </c>
      <c r="B2230">
        <v>2313011510</v>
      </c>
      <c r="C2230" t="str">
        <f>T("최종 보스 6권 3화")</f>
        <v>최종 보스 6권 3화</v>
      </c>
      <c r="D2230" t="str">
        <f>T("111")</f>
        <v>111</v>
      </c>
      <c r="E2230" t="str">
        <f t="shared" si="365"/>
        <v>무장</v>
      </c>
      <c r="H2230" t="str">
        <f t="shared" si="369"/>
        <v>스토리위즈</v>
      </c>
      <c r="I2230" t="str">
        <f t="shared" si="366"/>
        <v>최종 보스 : 빛을 향해 달리는 그림자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200</v>
      </c>
      <c r="AL2230">
        <v>0</v>
      </c>
      <c r="AM2230">
        <v>0</v>
      </c>
      <c r="AN2230">
        <v>0</v>
      </c>
      <c r="AO2230">
        <v>0</v>
      </c>
      <c r="AP2230">
        <v>140</v>
      </c>
      <c r="AT2230" t="str">
        <f t="shared" si="367"/>
        <v>9791166067563</v>
      </c>
      <c r="AV2230" t="str">
        <f t="shared" si="368"/>
        <v>판타지 웹소설 &gt; 현대 판타지</v>
      </c>
    </row>
    <row r="2231" spans="1:48" x14ac:dyDescent="0.4">
      <c r="A2231">
        <v>2313011400</v>
      </c>
      <c r="B2231">
        <v>2313011511</v>
      </c>
      <c r="C2231" t="str">
        <f>T("최종 보스 6권 4화")</f>
        <v>최종 보스 6권 4화</v>
      </c>
      <c r="D2231" t="str">
        <f>T("112")</f>
        <v>112</v>
      </c>
      <c r="E2231" t="str">
        <f t="shared" si="365"/>
        <v>무장</v>
      </c>
      <c r="H2231" t="str">
        <f t="shared" si="369"/>
        <v>스토리위즈</v>
      </c>
      <c r="I2231" t="str">
        <f t="shared" si="366"/>
        <v>최종 보스 : 빛을 향해 달리는 그림자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0</v>
      </c>
      <c r="AP2231">
        <v>140</v>
      </c>
      <c r="AT2231" t="str">
        <f t="shared" si="367"/>
        <v>9791166067563</v>
      </c>
      <c r="AV2231" t="str">
        <f t="shared" si="368"/>
        <v>판타지 웹소설 &gt; 현대 판타지</v>
      </c>
    </row>
    <row r="2232" spans="1:48" x14ac:dyDescent="0.4">
      <c r="A2232">
        <v>2313011400</v>
      </c>
      <c r="B2232">
        <v>2313011512</v>
      </c>
      <c r="C2232" t="str">
        <f>T("최종 보스 6권 5화")</f>
        <v>최종 보스 6권 5화</v>
      </c>
      <c r="D2232" t="str">
        <f>T("113")</f>
        <v>113</v>
      </c>
      <c r="E2232" t="str">
        <f t="shared" si="365"/>
        <v>무장</v>
      </c>
      <c r="H2232" t="str">
        <f t="shared" si="369"/>
        <v>스토리위즈</v>
      </c>
      <c r="I2232" t="str">
        <f t="shared" si="366"/>
        <v>최종 보스 : 빛을 향해 달리는 그림자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200</v>
      </c>
      <c r="AL2232">
        <v>0</v>
      </c>
      <c r="AM2232">
        <v>0</v>
      </c>
      <c r="AN2232">
        <v>0</v>
      </c>
      <c r="AO2232">
        <v>0</v>
      </c>
      <c r="AP2232">
        <v>140</v>
      </c>
      <c r="AT2232" t="str">
        <f t="shared" si="367"/>
        <v>9791166067563</v>
      </c>
      <c r="AV2232" t="str">
        <f t="shared" si="368"/>
        <v>판타지 웹소설 &gt; 현대 판타지</v>
      </c>
    </row>
    <row r="2233" spans="1:48" x14ac:dyDescent="0.4">
      <c r="A2233">
        <v>2313011400</v>
      </c>
      <c r="B2233">
        <v>2313011513</v>
      </c>
      <c r="C2233" t="str">
        <f>T("최종 보스 6권 6화")</f>
        <v>최종 보스 6권 6화</v>
      </c>
      <c r="D2233" t="str">
        <f>T("114")</f>
        <v>114</v>
      </c>
      <c r="E2233" t="str">
        <f t="shared" si="365"/>
        <v>무장</v>
      </c>
      <c r="H2233" t="str">
        <f t="shared" si="369"/>
        <v>스토리위즈</v>
      </c>
      <c r="I2233" t="str">
        <f t="shared" si="366"/>
        <v>최종 보스 : 빛을 향해 달리는 그림자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200</v>
      </c>
      <c r="AL2233">
        <v>0</v>
      </c>
      <c r="AM2233">
        <v>0</v>
      </c>
      <c r="AN2233">
        <v>0</v>
      </c>
      <c r="AO2233">
        <v>0</v>
      </c>
      <c r="AP2233">
        <v>140</v>
      </c>
      <c r="AT2233" t="str">
        <f t="shared" si="367"/>
        <v>9791166067563</v>
      </c>
      <c r="AV2233" t="str">
        <f t="shared" si="368"/>
        <v>판타지 웹소설 &gt; 현대 판타지</v>
      </c>
    </row>
    <row r="2234" spans="1:48" x14ac:dyDescent="0.4">
      <c r="A2234">
        <v>2313011400</v>
      </c>
      <c r="B2234">
        <v>2313011514</v>
      </c>
      <c r="C2234" t="str">
        <f>T("최종 보스 6권 7화")</f>
        <v>최종 보스 6권 7화</v>
      </c>
      <c r="D2234" t="str">
        <f>T("115")</f>
        <v>115</v>
      </c>
      <c r="E2234" t="str">
        <f t="shared" si="365"/>
        <v>무장</v>
      </c>
      <c r="H2234" t="str">
        <f t="shared" si="369"/>
        <v>스토리위즈</v>
      </c>
      <c r="I2234" t="str">
        <f t="shared" si="366"/>
        <v>최종 보스 : 빛을 향해 달리는 그림자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200</v>
      </c>
      <c r="AL2234">
        <v>0</v>
      </c>
      <c r="AM2234">
        <v>0</v>
      </c>
      <c r="AN2234">
        <v>0</v>
      </c>
      <c r="AO2234">
        <v>0</v>
      </c>
      <c r="AP2234">
        <v>140</v>
      </c>
      <c r="AT2234" t="str">
        <f t="shared" si="367"/>
        <v>9791166067563</v>
      </c>
      <c r="AV2234" t="str">
        <f t="shared" si="368"/>
        <v>판타지 웹소설 &gt; 현대 판타지</v>
      </c>
    </row>
    <row r="2235" spans="1:48" x14ac:dyDescent="0.4">
      <c r="A2235">
        <v>2313011400</v>
      </c>
      <c r="B2235">
        <v>2313011515</v>
      </c>
      <c r="C2235" t="str">
        <f>T("최종 보스 6권 8화")</f>
        <v>최종 보스 6권 8화</v>
      </c>
      <c r="D2235" t="str">
        <f>T("116")</f>
        <v>116</v>
      </c>
      <c r="E2235" t="str">
        <f t="shared" si="365"/>
        <v>무장</v>
      </c>
      <c r="H2235" t="str">
        <f t="shared" si="369"/>
        <v>스토리위즈</v>
      </c>
      <c r="I2235" t="str">
        <f t="shared" si="366"/>
        <v>최종 보스 : 빛을 향해 달리는 그림자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200</v>
      </c>
      <c r="AL2235">
        <v>0</v>
      </c>
      <c r="AM2235">
        <v>0</v>
      </c>
      <c r="AN2235">
        <v>0</v>
      </c>
      <c r="AO2235">
        <v>0</v>
      </c>
      <c r="AP2235">
        <v>140</v>
      </c>
      <c r="AT2235" t="str">
        <f t="shared" si="367"/>
        <v>9791166067563</v>
      </c>
      <c r="AV2235" t="str">
        <f t="shared" si="368"/>
        <v>판타지 웹소설 &gt; 현대 판타지</v>
      </c>
    </row>
    <row r="2236" spans="1:48" x14ac:dyDescent="0.4">
      <c r="A2236">
        <v>2313011400</v>
      </c>
      <c r="B2236">
        <v>2313011517</v>
      </c>
      <c r="C2236" t="str">
        <f>T("최종 보스 6권 10화")</f>
        <v>최종 보스 6권 10화</v>
      </c>
      <c r="D2236" t="str">
        <f>T("118")</f>
        <v>118</v>
      </c>
      <c r="E2236" t="str">
        <f t="shared" si="365"/>
        <v>무장</v>
      </c>
      <c r="H2236" t="str">
        <f t="shared" si="369"/>
        <v>스토리위즈</v>
      </c>
      <c r="I2236" t="str">
        <f t="shared" si="366"/>
        <v>최종 보스 : 빛을 향해 달리는 그림자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200</v>
      </c>
      <c r="AL2236">
        <v>0</v>
      </c>
      <c r="AM2236">
        <v>0</v>
      </c>
      <c r="AN2236">
        <v>0</v>
      </c>
      <c r="AO2236">
        <v>0</v>
      </c>
      <c r="AP2236">
        <v>140</v>
      </c>
      <c r="AT2236" t="str">
        <f t="shared" si="367"/>
        <v>9791166067563</v>
      </c>
      <c r="AV2236" t="str">
        <f t="shared" si="368"/>
        <v>판타지 웹소설 &gt; 현대 판타지</v>
      </c>
    </row>
    <row r="2237" spans="1:48" x14ac:dyDescent="0.4">
      <c r="A2237">
        <v>2313011400</v>
      </c>
      <c r="B2237">
        <v>2313011518</v>
      </c>
      <c r="C2237" t="str">
        <f>T("최종 보스 6권 11화")</f>
        <v>최종 보스 6권 11화</v>
      </c>
      <c r="D2237" t="str">
        <f>T("119")</f>
        <v>119</v>
      </c>
      <c r="E2237" t="str">
        <f t="shared" si="365"/>
        <v>무장</v>
      </c>
      <c r="H2237" t="str">
        <f t="shared" si="369"/>
        <v>스토리위즈</v>
      </c>
      <c r="I2237" t="str">
        <f t="shared" si="366"/>
        <v>최종 보스 : 빛을 향해 달리는 그림자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200</v>
      </c>
      <c r="AL2237">
        <v>0</v>
      </c>
      <c r="AM2237">
        <v>0</v>
      </c>
      <c r="AN2237">
        <v>0</v>
      </c>
      <c r="AO2237">
        <v>0</v>
      </c>
      <c r="AP2237">
        <v>140</v>
      </c>
      <c r="AT2237" t="str">
        <f t="shared" si="367"/>
        <v>9791166067563</v>
      </c>
      <c r="AV2237" t="str">
        <f t="shared" si="368"/>
        <v>판타지 웹소설 &gt; 현대 판타지</v>
      </c>
    </row>
    <row r="2238" spans="1:48" x14ac:dyDescent="0.4">
      <c r="A2238">
        <v>2313011400</v>
      </c>
      <c r="B2238">
        <v>2313011519</v>
      </c>
      <c r="C2238" t="str">
        <f>T("최종 보스 6권 12화")</f>
        <v>최종 보스 6권 12화</v>
      </c>
      <c r="D2238" t="str">
        <f>T("120")</f>
        <v>120</v>
      </c>
      <c r="E2238" t="str">
        <f t="shared" si="365"/>
        <v>무장</v>
      </c>
      <c r="H2238" t="str">
        <f t="shared" si="369"/>
        <v>스토리위즈</v>
      </c>
      <c r="I2238" t="str">
        <f t="shared" si="366"/>
        <v>최종 보스 : 빛을 향해 달리는 그림자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140</v>
      </c>
      <c r="AT2238" t="str">
        <f t="shared" si="367"/>
        <v>9791166067563</v>
      </c>
      <c r="AV2238" t="str">
        <f t="shared" si="368"/>
        <v>판타지 웹소설 &gt; 현대 판타지</v>
      </c>
    </row>
    <row r="2239" spans="1:48" x14ac:dyDescent="0.4">
      <c r="A2239">
        <v>2313011400</v>
      </c>
      <c r="B2239">
        <v>2313011520</v>
      </c>
      <c r="C2239" t="str">
        <f>T("최종 보스 6권 13화")</f>
        <v>최종 보스 6권 13화</v>
      </c>
      <c r="D2239" t="str">
        <f>T("121")</f>
        <v>121</v>
      </c>
      <c r="E2239" t="str">
        <f t="shared" si="365"/>
        <v>무장</v>
      </c>
      <c r="H2239" t="str">
        <f t="shared" si="369"/>
        <v>스토리위즈</v>
      </c>
      <c r="I2239" t="str">
        <f t="shared" si="366"/>
        <v>최종 보스 : 빛을 향해 달리는 그림자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200</v>
      </c>
      <c r="AL2239">
        <v>0</v>
      </c>
      <c r="AM2239">
        <v>0</v>
      </c>
      <c r="AN2239">
        <v>0</v>
      </c>
      <c r="AO2239">
        <v>0</v>
      </c>
      <c r="AP2239">
        <v>140</v>
      </c>
      <c r="AT2239" t="str">
        <f t="shared" si="367"/>
        <v>9791166067563</v>
      </c>
      <c r="AV2239" t="str">
        <f t="shared" si="368"/>
        <v>판타지 웹소설 &gt; 현대 판타지</v>
      </c>
    </row>
    <row r="2240" spans="1:48" x14ac:dyDescent="0.4">
      <c r="A2240">
        <v>2313011400</v>
      </c>
      <c r="B2240">
        <v>2313011521</v>
      </c>
      <c r="C2240" t="str">
        <f>T("최종 보스 6권 14화")</f>
        <v>최종 보스 6권 14화</v>
      </c>
      <c r="D2240" t="str">
        <f>T("122")</f>
        <v>122</v>
      </c>
      <c r="E2240" t="str">
        <f t="shared" si="365"/>
        <v>무장</v>
      </c>
      <c r="H2240" t="str">
        <f t="shared" si="369"/>
        <v>스토리위즈</v>
      </c>
      <c r="I2240" t="str">
        <f t="shared" si="366"/>
        <v>최종 보스 : 빛을 향해 달리는 그림자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200</v>
      </c>
      <c r="AL2240">
        <v>0</v>
      </c>
      <c r="AM2240">
        <v>0</v>
      </c>
      <c r="AN2240">
        <v>0</v>
      </c>
      <c r="AO2240">
        <v>0</v>
      </c>
      <c r="AP2240">
        <v>140</v>
      </c>
      <c r="AT2240" t="str">
        <f t="shared" si="367"/>
        <v>9791166067563</v>
      </c>
      <c r="AV2240" t="str">
        <f t="shared" si="368"/>
        <v>판타지 웹소설 &gt; 현대 판타지</v>
      </c>
    </row>
    <row r="2241" spans="1:48" x14ac:dyDescent="0.4">
      <c r="A2241">
        <v>2313011400</v>
      </c>
      <c r="B2241">
        <v>2313011522</v>
      </c>
      <c r="C2241" t="str">
        <f>T("최종 보스 6권 15화")</f>
        <v>최종 보스 6권 15화</v>
      </c>
      <c r="D2241" t="str">
        <f>T("123")</f>
        <v>123</v>
      </c>
      <c r="E2241" t="str">
        <f t="shared" si="365"/>
        <v>무장</v>
      </c>
      <c r="H2241" t="str">
        <f t="shared" si="369"/>
        <v>스토리위즈</v>
      </c>
      <c r="I2241" t="str">
        <f t="shared" si="366"/>
        <v>최종 보스 : 빛을 향해 달리는 그림자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200</v>
      </c>
      <c r="AL2241">
        <v>0</v>
      </c>
      <c r="AM2241">
        <v>0</v>
      </c>
      <c r="AN2241">
        <v>0</v>
      </c>
      <c r="AO2241">
        <v>0</v>
      </c>
      <c r="AP2241">
        <v>140</v>
      </c>
      <c r="AT2241" t="str">
        <f t="shared" si="367"/>
        <v>9791166067563</v>
      </c>
      <c r="AV2241" t="str">
        <f t="shared" si="368"/>
        <v>판타지 웹소설 &gt; 현대 판타지</v>
      </c>
    </row>
    <row r="2242" spans="1:48" x14ac:dyDescent="0.4">
      <c r="A2242">
        <v>2313011400</v>
      </c>
      <c r="B2242">
        <v>2313011523</v>
      </c>
      <c r="C2242" t="str">
        <f>T("최종 보스 6권 16화")</f>
        <v>최종 보스 6권 16화</v>
      </c>
      <c r="D2242" t="str">
        <f>T("124")</f>
        <v>124</v>
      </c>
      <c r="E2242" t="str">
        <f t="shared" si="365"/>
        <v>무장</v>
      </c>
      <c r="H2242" t="str">
        <f t="shared" si="369"/>
        <v>스토리위즈</v>
      </c>
      <c r="I2242" t="str">
        <f t="shared" si="366"/>
        <v>최종 보스 : 빛을 향해 달리는 그림자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200</v>
      </c>
      <c r="AL2242">
        <v>0</v>
      </c>
      <c r="AM2242">
        <v>0</v>
      </c>
      <c r="AN2242">
        <v>0</v>
      </c>
      <c r="AO2242">
        <v>0</v>
      </c>
      <c r="AP2242">
        <v>140</v>
      </c>
      <c r="AT2242" t="str">
        <f t="shared" si="367"/>
        <v>9791166067563</v>
      </c>
      <c r="AV2242" t="str">
        <f t="shared" si="368"/>
        <v>판타지 웹소설 &gt; 현대 판타지</v>
      </c>
    </row>
    <row r="2243" spans="1:48" x14ac:dyDescent="0.4">
      <c r="A2243">
        <v>2313011400</v>
      </c>
      <c r="B2243">
        <v>2313011524</v>
      </c>
      <c r="C2243" t="str">
        <f>T("최종 보스 6권 17화")</f>
        <v>최종 보스 6권 17화</v>
      </c>
      <c r="D2243" t="str">
        <f>T("125")</f>
        <v>125</v>
      </c>
      <c r="E2243" t="str">
        <f t="shared" si="365"/>
        <v>무장</v>
      </c>
      <c r="H2243" t="str">
        <f t="shared" si="369"/>
        <v>스토리위즈</v>
      </c>
      <c r="I2243" t="str">
        <f t="shared" si="366"/>
        <v>최종 보스 : 빛을 향해 달리는 그림자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200</v>
      </c>
      <c r="AL2243">
        <v>0</v>
      </c>
      <c r="AM2243">
        <v>0</v>
      </c>
      <c r="AN2243">
        <v>0</v>
      </c>
      <c r="AO2243">
        <v>0</v>
      </c>
      <c r="AP2243">
        <v>140</v>
      </c>
      <c r="AT2243" t="str">
        <f t="shared" si="367"/>
        <v>9791166067563</v>
      </c>
      <c r="AV2243" t="str">
        <f t="shared" si="368"/>
        <v>판타지 웹소설 &gt; 현대 판타지</v>
      </c>
    </row>
    <row r="2244" spans="1:48" x14ac:dyDescent="0.4">
      <c r="A2244">
        <v>2313011400</v>
      </c>
      <c r="B2244">
        <v>2313011568</v>
      </c>
      <c r="C2244" t="str">
        <f>T("최종 보스 8권 20화")</f>
        <v>최종 보스 8권 20화</v>
      </c>
      <c r="D2244" t="str">
        <f>T("169")</f>
        <v>169</v>
      </c>
      <c r="E2244" t="str">
        <f t="shared" si="365"/>
        <v>무장</v>
      </c>
      <c r="H2244" t="str">
        <f t="shared" si="369"/>
        <v>스토리위즈</v>
      </c>
      <c r="I2244" t="str">
        <f t="shared" si="366"/>
        <v>최종 보스 : 빛을 향해 달리는 그림자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200</v>
      </c>
      <c r="AL2244">
        <v>0</v>
      </c>
      <c r="AM2244">
        <v>0</v>
      </c>
      <c r="AN2244">
        <v>0</v>
      </c>
      <c r="AO2244">
        <v>0</v>
      </c>
      <c r="AP2244">
        <v>140</v>
      </c>
      <c r="AT2244" t="str">
        <f t="shared" si="367"/>
        <v>9791166067563</v>
      </c>
      <c r="AV2244" t="str">
        <f t="shared" si="368"/>
        <v>판타지 웹소설 &gt; 현대 판타지</v>
      </c>
    </row>
    <row r="2245" spans="1:48" x14ac:dyDescent="0.4">
      <c r="A2245">
        <v>2313011400</v>
      </c>
      <c r="B2245">
        <v>2313011605</v>
      </c>
      <c r="C2245" t="str">
        <f>T("최종 보스 10권 16화")</f>
        <v>최종 보스 10권 16화</v>
      </c>
      <c r="D2245" t="str">
        <f>T("206")</f>
        <v>206</v>
      </c>
      <c r="E2245" t="str">
        <f t="shared" si="365"/>
        <v>무장</v>
      </c>
      <c r="H2245" t="str">
        <f t="shared" si="369"/>
        <v>스토리위즈</v>
      </c>
      <c r="I2245" t="str">
        <f t="shared" si="366"/>
        <v>최종 보스 : 빛을 향해 달리는 그림자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200</v>
      </c>
      <c r="AL2245">
        <v>0</v>
      </c>
      <c r="AM2245">
        <v>0</v>
      </c>
      <c r="AN2245">
        <v>0</v>
      </c>
      <c r="AO2245">
        <v>0</v>
      </c>
      <c r="AP2245">
        <v>140</v>
      </c>
      <c r="AT2245" t="str">
        <f t="shared" si="367"/>
        <v>9791166067563</v>
      </c>
      <c r="AV2245" t="str">
        <f t="shared" si="368"/>
        <v>판타지 웹소설 &gt; 현대 판타지</v>
      </c>
    </row>
    <row r="2246" spans="1:48" x14ac:dyDescent="0.4">
      <c r="A2246">
        <v>2313011400</v>
      </c>
      <c r="B2246">
        <v>2313011635</v>
      </c>
      <c r="C2246" t="str">
        <f>T("최종 보스 12권 4화")</f>
        <v>최종 보스 12권 4화</v>
      </c>
      <c r="D2246" t="str">
        <f>T("236")</f>
        <v>236</v>
      </c>
      <c r="E2246" t="str">
        <f t="shared" si="365"/>
        <v>무장</v>
      </c>
      <c r="H2246" t="str">
        <f t="shared" si="369"/>
        <v>스토리위즈</v>
      </c>
      <c r="I2246" t="str">
        <f t="shared" si="366"/>
        <v>최종 보스 : 빛을 향해 달리는 그림자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200</v>
      </c>
      <c r="AL2246">
        <v>0</v>
      </c>
      <c r="AM2246">
        <v>0</v>
      </c>
      <c r="AN2246">
        <v>0</v>
      </c>
      <c r="AO2246">
        <v>0</v>
      </c>
      <c r="AP2246">
        <v>140</v>
      </c>
      <c r="AT2246" t="str">
        <f t="shared" si="367"/>
        <v>9791166067563</v>
      </c>
      <c r="AV2246" t="str">
        <f t="shared" si="368"/>
        <v>판타지 웹소설 &gt; 현대 판타지</v>
      </c>
    </row>
    <row r="2247" spans="1:48" x14ac:dyDescent="0.4">
      <c r="A2247">
        <v>2313011400</v>
      </c>
      <c r="B2247">
        <v>2313011643</v>
      </c>
      <c r="C2247" t="str">
        <f>T("최종 보스 12권 12화")</f>
        <v>최종 보스 12권 12화</v>
      </c>
      <c r="D2247" t="str">
        <f>T("244")</f>
        <v>244</v>
      </c>
      <c r="E2247" t="str">
        <f t="shared" si="365"/>
        <v>무장</v>
      </c>
      <c r="H2247" t="str">
        <f t="shared" si="369"/>
        <v>스토리위즈</v>
      </c>
      <c r="I2247" t="str">
        <f t="shared" si="366"/>
        <v>최종 보스 : 빛을 향해 달리는 그림자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200</v>
      </c>
      <c r="AL2247">
        <v>0</v>
      </c>
      <c r="AM2247">
        <v>0</v>
      </c>
      <c r="AN2247">
        <v>0</v>
      </c>
      <c r="AO2247">
        <v>0</v>
      </c>
      <c r="AP2247">
        <v>140</v>
      </c>
      <c r="AT2247" t="str">
        <f t="shared" si="367"/>
        <v>9791166067563</v>
      </c>
      <c r="AV2247" t="str">
        <f t="shared" si="368"/>
        <v>판타지 웹소설 &gt; 현대 판타지</v>
      </c>
    </row>
    <row r="2248" spans="1:48" x14ac:dyDescent="0.4">
      <c r="A2248">
        <v>2313011400</v>
      </c>
      <c r="B2248">
        <v>2313011644</v>
      </c>
      <c r="C2248" t="str">
        <f>T("최종 보스 12권 13화")</f>
        <v>최종 보스 12권 13화</v>
      </c>
      <c r="D2248" t="str">
        <f>T("245")</f>
        <v>245</v>
      </c>
      <c r="E2248" t="str">
        <f t="shared" si="365"/>
        <v>무장</v>
      </c>
      <c r="H2248" t="str">
        <f t="shared" si="369"/>
        <v>스토리위즈</v>
      </c>
      <c r="I2248" t="str">
        <f t="shared" si="366"/>
        <v>최종 보스 : 빛을 향해 달리는 그림자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200</v>
      </c>
      <c r="AL2248">
        <v>0</v>
      </c>
      <c r="AM2248">
        <v>0</v>
      </c>
      <c r="AN2248">
        <v>0</v>
      </c>
      <c r="AO2248">
        <v>0</v>
      </c>
      <c r="AP2248">
        <v>140</v>
      </c>
      <c r="AT2248" t="str">
        <f t="shared" si="367"/>
        <v>9791166067563</v>
      </c>
      <c r="AV2248" t="str">
        <f t="shared" si="368"/>
        <v>판타지 웹소설 &gt; 현대 판타지</v>
      </c>
    </row>
    <row r="2249" spans="1:48" x14ac:dyDescent="0.4">
      <c r="A2249">
        <v>2313011400</v>
      </c>
      <c r="B2249">
        <v>2313011645</v>
      </c>
      <c r="C2249" t="str">
        <f>T("최종 보스 12권 14화")</f>
        <v>최종 보스 12권 14화</v>
      </c>
      <c r="D2249" t="str">
        <f>T("246")</f>
        <v>246</v>
      </c>
      <c r="E2249" t="str">
        <f t="shared" si="365"/>
        <v>무장</v>
      </c>
      <c r="H2249" t="str">
        <f t="shared" si="369"/>
        <v>스토리위즈</v>
      </c>
      <c r="I2249" t="str">
        <f t="shared" si="366"/>
        <v>최종 보스 : 빛을 향해 달리는 그림자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200</v>
      </c>
      <c r="AL2249">
        <v>0</v>
      </c>
      <c r="AM2249">
        <v>0</v>
      </c>
      <c r="AN2249">
        <v>0</v>
      </c>
      <c r="AO2249">
        <v>0</v>
      </c>
      <c r="AP2249">
        <v>140</v>
      </c>
      <c r="AT2249" t="str">
        <f t="shared" si="367"/>
        <v>9791166067563</v>
      </c>
      <c r="AV2249" t="str">
        <f t="shared" si="368"/>
        <v>판타지 웹소설 &gt; 현대 판타지</v>
      </c>
    </row>
    <row r="2250" spans="1:48" x14ac:dyDescent="0.4">
      <c r="A2250">
        <v>2313011400</v>
      </c>
      <c r="B2250">
        <v>2313011646</v>
      </c>
      <c r="C2250" t="str">
        <f>T("최종 보스 12권 15화")</f>
        <v>최종 보스 12권 15화</v>
      </c>
      <c r="D2250" t="str">
        <f>T("247")</f>
        <v>247</v>
      </c>
      <c r="E2250" t="str">
        <f t="shared" si="365"/>
        <v>무장</v>
      </c>
      <c r="H2250" t="str">
        <f t="shared" si="369"/>
        <v>스토리위즈</v>
      </c>
      <c r="I2250" t="str">
        <f t="shared" si="366"/>
        <v>최종 보스 : 빛을 향해 달리는 그림자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200</v>
      </c>
      <c r="AL2250">
        <v>0</v>
      </c>
      <c r="AM2250">
        <v>0</v>
      </c>
      <c r="AN2250">
        <v>0</v>
      </c>
      <c r="AO2250">
        <v>0</v>
      </c>
      <c r="AP2250">
        <v>140</v>
      </c>
      <c r="AT2250" t="str">
        <f t="shared" si="367"/>
        <v>9791166067563</v>
      </c>
      <c r="AV2250" t="str">
        <f t="shared" si="368"/>
        <v>판타지 웹소설 &gt; 현대 판타지</v>
      </c>
    </row>
    <row r="2251" spans="1:48" x14ac:dyDescent="0.4">
      <c r="A2251">
        <v>2313011400</v>
      </c>
      <c r="B2251">
        <v>2313011647</v>
      </c>
      <c r="C2251" t="str">
        <f>T("최종 보스 12권 16화")</f>
        <v>최종 보스 12권 16화</v>
      </c>
      <c r="D2251" t="str">
        <f>T("248")</f>
        <v>248</v>
      </c>
      <c r="E2251" t="str">
        <f t="shared" si="365"/>
        <v>무장</v>
      </c>
      <c r="H2251" t="str">
        <f t="shared" si="369"/>
        <v>스토리위즈</v>
      </c>
      <c r="I2251" t="str">
        <f t="shared" si="366"/>
        <v>최종 보스 : 빛을 향해 달리는 그림자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>
        <v>140</v>
      </c>
      <c r="AT2251" t="str">
        <f t="shared" si="367"/>
        <v>9791166067563</v>
      </c>
      <c r="AV2251" t="str">
        <f t="shared" si="368"/>
        <v>판타지 웹소설 &gt; 현대 판타지</v>
      </c>
    </row>
    <row r="2252" spans="1:48" x14ac:dyDescent="0.4">
      <c r="A2252">
        <v>2313011400</v>
      </c>
      <c r="B2252">
        <v>2313011648</v>
      </c>
      <c r="C2252" t="str">
        <f>T("최종 보스 12권 17화")</f>
        <v>최종 보스 12권 17화</v>
      </c>
      <c r="D2252" t="str">
        <f>T("249")</f>
        <v>249</v>
      </c>
      <c r="E2252" t="str">
        <f t="shared" si="365"/>
        <v>무장</v>
      </c>
      <c r="H2252" t="str">
        <f t="shared" si="369"/>
        <v>스토리위즈</v>
      </c>
      <c r="I2252" t="str">
        <f t="shared" si="366"/>
        <v>최종 보스 : 빛을 향해 달리는 그림자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>
        <v>140</v>
      </c>
      <c r="AT2252" t="str">
        <f t="shared" si="367"/>
        <v>9791166067563</v>
      </c>
      <c r="AV2252" t="str">
        <f t="shared" si="368"/>
        <v>판타지 웹소설 &gt; 현대 판타지</v>
      </c>
    </row>
    <row r="2253" spans="1:48" x14ac:dyDescent="0.4">
      <c r="A2253">
        <v>2313011400</v>
      </c>
      <c r="B2253">
        <v>2313011649</v>
      </c>
      <c r="C2253" t="str">
        <f>T("최종 보스 12권 18화")</f>
        <v>최종 보스 12권 18화</v>
      </c>
      <c r="D2253" t="str">
        <f>T("250")</f>
        <v>250</v>
      </c>
      <c r="E2253" t="str">
        <f t="shared" si="365"/>
        <v>무장</v>
      </c>
      <c r="H2253" t="str">
        <f t="shared" si="369"/>
        <v>스토리위즈</v>
      </c>
      <c r="I2253" t="str">
        <f t="shared" si="366"/>
        <v>최종 보스 : 빛을 향해 달리는 그림자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>
        <v>140</v>
      </c>
      <c r="AT2253" t="str">
        <f t="shared" si="367"/>
        <v>9791166067563</v>
      </c>
      <c r="AV2253" t="str">
        <f t="shared" si="368"/>
        <v>판타지 웹소설 &gt; 현대 판타지</v>
      </c>
    </row>
    <row r="2254" spans="1:48" x14ac:dyDescent="0.4">
      <c r="A2254">
        <v>2313011400</v>
      </c>
      <c r="B2254">
        <v>2313011650</v>
      </c>
      <c r="C2254" t="str">
        <f>T("최종 보스 12권 19화")</f>
        <v>최종 보스 12권 19화</v>
      </c>
      <c r="D2254" t="str">
        <f>T("251")</f>
        <v>251</v>
      </c>
      <c r="E2254" t="str">
        <f t="shared" si="365"/>
        <v>무장</v>
      </c>
      <c r="H2254" t="str">
        <f t="shared" si="369"/>
        <v>스토리위즈</v>
      </c>
      <c r="I2254" t="str">
        <f t="shared" si="366"/>
        <v>최종 보스 : 빛을 향해 달리는 그림자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>
        <v>140</v>
      </c>
      <c r="AT2254" t="str">
        <f t="shared" si="367"/>
        <v>9791166067563</v>
      </c>
      <c r="AV2254" t="str">
        <f t="shared" si="368"/>
        <v>판타지 웹소설 &gt; 현대 판타지</v>
      </c>
    </row>
    <row r="2255" spans="1:48" x14ac:dyDescent="0.4">
      <c r="A2255">
        <v>2313011400</v>
      </c>
      <c r="B2255">
        <v>2313011651</v>
      </c>
      <c r="C2255" t="str">
        <f>T("최종 보스 12권 20화")</f>
        <v>최종 보스 12권 20화</v>
      </c>
      <c r="D2255" t="str">
        <f>T("252")</f>
        <v>252</v>
      </c>
      <c r="E2255" t="str">
        <f t="shared" si="365"/>
        <v>무장</v>
      </c>
      <c r="H2255" t="str">
        <f t="shared" si="369"/>
        <v>스토리위즈</v>
      </c>
      <c r="I2255" t="str">
        <f t="shared" si="366"/>
        <v>최종 보스 : 빛을 향해 달리는 그림자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>
        <v>140</v>
      </c>
      <c r="AT2255" t="str">
        <f t="shared" si="367"/>
        <v>9791166067563</v>
      </c>
      <c r="AV2255" t="str">
        <f t="shared" si="368"/>
        <v>판타지 웹소설 &gt; 현대 판타지</v>
      </c>
    </row>
    <row r="2256" spans="1:48" x14ac:dyDescent="0.4">
      <c r="A2256">
        <v>2313011400</v>
      </c>
      <c r="B2256">
        <v>2313011652</v>
      </c>
      <c r="C2256" t="str">
        <f>T("최종 보스 13권 1화")</f>
        <v>최종 보스 13권 1화</v>
      </c>
      <c r="D2256" t="str">
        <f>T("253")</f>
        <v>253</v>
      </c>
      <c r="E2256" t="str">
        <f t="shared" si="365"/>
        <v>무장</v>
      </c>
      <c r="H2256" t="str">
        <f t="shared" si="369"/>
        <v>스토리위즈</v>
      </c>
      <c r="I2256" t="str">
        <f t="shared" si="366"/>
        <v>최종 보스 : 빛을 향해 달리는 그림자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>
        <v>140</v>
      </c>
      <c r="AT2256" t="str">
        <f t="shared" si="367"/>
        <v>9791166067563</v>
      </c>
      <c r="AV2256" t="str">
        <f t="shared" si="368"/>
        <v>판타지 웹소설 &gt; 현대 판타지</v>
      </c>
    </row>
    <row r="2257" spans="1:48" x14ac:dyDescent="0.4">
      <c r="A2257">
        <v>2313011400</v>
      </c>
      <c r="B2257">
        <v>2313011653</v>
      </c>
      <c r="C2257" t="str">
        <f>T("최종 보스 13권 2화")</f>
        <v>최종 보스 13권 2화</v>
      </c>
      <c r="D2257" t="str">
        <f>T("254")</f>
        <v>254</v>
      </c>
      <c r="E2257" t="str">
        <f t="shared" si="365"/>
        <v>무장</v>
      </c>
      <c r="H2257" t="str">
        <f t="shared" si="369"/>
        <v>스토리위즈</v>
      </c>
      <c r="I2257" t="str">
        <f t="shared" si="366"/>
        <v>최종 보스 : 빛을 향해 달리는 그림자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>
        <v>140</v>
      </c>
      <c r="AT2257" t="str">
        <f t="shared" si="367"/>
        <v>9791166067563</v>
      </c>
      <c r="AV2257" t="str">
        <f t="shared" si="368"/>
        <v>판타지 웹소설 &gt; 현대 판타지</v>
      </c>
    </row>
    <row r="2258" spans="1:48" x14ac:dyDescent="0.4">
      <c r="A2258">
        <v>2313011400</v>
      </c>
      <c r="B2258">
        <v>2313011654</v>
      </c>
      <c r="C2258" t="str">
        <f>T("최종 보스 13권 3화")</f>
        <v>최종 보스 13권 3화</v>
      </c>
      <c r="D2258" t="str">
        <f>T("255")</f>
        <v>255</v>
      </c>
      <c r="E2258" t="str">
        <f t="shared" si="365"/>
        <v>무장</v>
      </c>
      <c r="H2258" t="str">
        <f t="shared" si="369"/>
        <v>스토리위즈</v>
      </c>
      <c r="I2258" t="str">
        <f t="shared" si="366"/>
        <v>최종 보스 : 빛을 향해 달리는 그림자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>
        <v>140</v>
      </c>
      <c r="AT2258" t="str">
        <f t="shared" si="367"/>
        <v>9791166067563</v>
      </c>
      <c r="AV2258" t="str">
        <f t="shared" si="368"/>
        <v>판타지 웹소설 &gt; 현대 판타지</v>
      </c>
    </row>
    <row r="2259" spans="1:48" x14ac:dyDescent="0.4">
      <c r="A2259">
        <v>2313011400</v>
      </c>
      <c r="B2259">
        <v>2313011655</v>
      </c>
      <c r="C2259" t="str">
        <f>T("최종 보스 13권 4화")</f>
        <v>최종 보스 13권 4화</v>
      </c>
      <c r="D2259" t="str">
        <f>T("256")</f>
        <v>256</v>
      </c>
      <c r="E2259" t="str">
        <f t="shared" si="365"/>
        <v>무장</v>
      </c>
      <c r="H2259" t="str">
        <f t="shared" si="369"/>
        <v>스토리위즈</v>
      </c>
      <c r="I2259" t="str">
        <f t="shared" si="366"/>
        <v>최종 보스 : 빛을 향해 달리는 그림자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>
        <v>140</v>
      </c>
      <c r="AT2259" t="str">
        <f t="shared" si="367"/>
        <v>9791166067563</v>
      </c>
      <c r="AV2259" t="str">
        <f t="shared" si="368"/>
        <v>판타지 웹소설 &gt; 현대 판타지</v>
      </c>
    </row>
    <row r="2260" spans="1:48" x14ac:dyDescent="0.4">
      <c r="A2260">
        <v>2313011400</v>
      </c>
      <c r="B2260">
        <v>2313011656</v>
      </c>
      <c r="C2260" t="str">
        <f>T("최종 보스 13권 5화")</f>
        <v>최종 보스 13권 5화</v>
      </c>
      <c r="D2260" t="str">
        <f>T("257")</f>
        <v>257</v>
      </c>
      <c r="E2260" t="str">
        <f t="shared" si="365"/>
        <v>무장</v>
      </c>
      <c r="H2260" t="str">
        <f t="shared" si="369"/>
        <v>스토리위즈</v>
      </c>
      <c r="I2260" t="str">
        <f t="shared" si="366"/>
        <v>최종 보스 : 빛을 향해 달리는 그림자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>
        <v>140</v>
      </c>
      <c r="AT2260" t="str">
        <f t="shared" si="367"/>
        <v>9791166067563</v>
      </c>
      <c r="AV2260" t="str">
        <f t="shared" si="368"/>
        <v>판타지 웹소설 &gt; 현대 판타지</v>
      </c>
    </row>
    <row r="2261" spans="1:48" x14ac:dyDescent="0.4">
      <c r="A2261">
        <v>2313011400</v>
      </c>
      <c r="B2261">
        <v>2313011657</v>
      </c>
      <c r="C2261" t="str">
        <f>T("최종 보스 13권 6화")</f>
        <v>최종 보스 13권 6화</v>
      </c>
      <c r="D2261" t="str">
        <f>T("258")</f>
        <v>258</v>
      </c>
      <c r="E2261" t="str">
        <f t="shared" si="365"/>
        <v>무장</v>
      </c>
      <c r="H2261" t="str">
        <f t="shared" si="369"/>
        <v>스토리위즈</v>
      </c>
      <c r="I2261" t="str">
        <f t="shared" si="366"/>
        <v>최종 보스 : 빛을 향해 달리는 그림자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>
        <v>140</v>
      </c>
      <c r="AT2261" t="str">
        <f t="shared" si="367"/>
        <v>9791166067563</v>
      </c>
      <c r="AV2261" t="str">
        <f t="shared" si="368"/>
        <v>판타지 웹소설 &gt; 현대 판타지</v>
      </c>
    </row>
    <row r="2262" spans="1:48" x14ac:dyDescent="0.4">
      <c r="A2262">
        <v>2313011400</v>
      </c>
      <c r="B2262">
        <v>2313011658</v>
      </c>
      <c r="C2262" t="str">
        <f>T("최종 보스 13권 7화")</f>
        <v>최종 보스 13권 7화</v>
      </c>
      <c r="D2262" t="str">
        <f>T("259")</f>
        <v>259</v>
      </c>
      <c r="E2262" t="str">
        <f t="shared" si="365"/>
        <v>무장</v>
      </c>
      <c r="H2262" t="str">
        <f t="shared" si="369"/>
        <v>스토리위즈</v>
      </c>
      <c r="I2262" t="str">
        <f t="shared" si="366"/>
        <v>최종 보스 : 빛을 향해 달리는 그림자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>
        <v>140</v>
      </c>
      <c r="AT2262" t="str">
        <f t="shared" si="367"/>
        <v>9791166067563</v>
      </c>
      <c r="AV2262" t="str">
        <f t="shared" si="368"/>
        <v>판타지 웹소설 &gt; 현대 판타지</v>
      </c>
    </row>
    <row r="2263" spans="1:48" x14ac:dyDescent="0.4">
      <c r="A2263">
        <v>2313011400</v>
      </c>
      <c r="B2263">
        <v>2313011659</v>
      </c>
      <c r="C2263" t="str">
        <f>T("최종 보스 13권 8화")</f>
        <v>최종 보스 13권 8화</v>
      </c>
      <c r="D2263" t="str">
        <f>T("260")</f>
        <v>260</v>
      </c>
      <c r="E2263" t="str">
        <f t="shared" si="365"/>
        <v>무장</v>
      </c>
      <c r="H2263" t="str">
        <f t="shared" si="369"/>
        <v>스토리위즈</v>
      </c>
      <c r="I2263" t="str">
        <f t="shared" si="366"/>
        <v>최종 보스 : 빛을 향해 달리는 그림자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>
        <v>140</v>
      </c>
      <c r="AT2263" t="str">
        <f t="shared" si="367"/>
        <v>9791166067563</v>
      </c>
      <c r="AV2263" t="str">
        <f t="shared" si="368"/>
        <v>판타지 웹소설 &gt; 현대 판타지</v>
      </c>
    </row>
    <row r="2264" spans="1:48" x14ac:dyDescent="0.4">
      <c r="A2264">
        <v>2313011400</v>
      </c>
      <c r="B2264">
        <v>2313011660</v>
      </c>
      <c r="C2264" t="str">
        <f>T("최종 보스 13권 9화")</f>
        <v>최종 보스 13권 9화</v>
      </c>
      <c r="D2264" t="str">
        <f>T("261")</f>
        <v>261</v>
      </c>
      <c r="E2264" t="str">
        <f t="shared" si="365"/>
        <v>무장</v>
      </c>
      <c r="H2264" t="str">
        <f t="shared" si="369"/>
        <v>스토리위즈</v>
      </c>
      <c r="I2264" t="str">
        <f t="shared" si="366"/>
        <v>최종 보스 : 빛을 향해 달리는 그림자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>
        <v>140</v>
      </c>
      <c r="AT2264" t="str">
        <f t="shared" si="367"/>
        <v>9791166067563</v>
      </c>
      <c r="AV2264" t="str">
        <f t="shared" si="368"/>
        <v>판타지 웹소설 &gt; 현대 판타지</v>
      </c>
    </row>
    <row r="2265" spans="1:48" x14ac:dyDescent="0.4">
      <c r="A2265">
        <v>2313011400</v>
      </c>
      <c r="B2265">
        <v>2313011661</v>
      </c>
      <c r="C2265" t="str">
        <f>T("최종 보스 13권 10화")</f>
        <v>최종 보스 13권 10화</v>
      </c>
      <c r="D2265" t="str">
        <f>T("262")</f>
        <v>262</v>
      </c>
      <c r="E2265" t="str">
        <f t="shared" si="365"/>
        <v>무장</v>
      </c>
      <c r="H2265" t="str">
        <f t="shared" si="369"/>
        <v>스토리위즈</v>
      </c>
      <c r="I2265" t="str">
        <f t="shared" si="366"/>
        <v>최종 보스 : 빛을 향해 달리는 그림자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>
        <v>140</v>
      </c>
      <c r="AT2265" t="str">
        <f t="shared" si="367"/>
        <v>9791166067563</v>
      </c>
      <c r="AV2265" t="str">
        <f t="shared" si="368"/>
        <v>판타지 웹소설 &gt; 현대 판타지</v>
      </c>
    </row>
    <row r="2266" spans="1:48" x14ac:dyDescent="0.4">
      <c r="A2266">
        <v>2313011400</v>
      </c>
      <c r="B2266">
        <v>2313011662</v>
      </c>
      <c r="C2266" t="str">
        <f>T("최종 보스 13권 11화")</f>
        <v>최종 보스 13권 11화</v>
      </c>
      <c r="D2266" t="str">
        <f>T("263")</f>
        <v>263</v>
      </c>
      <c r="E2266" t="str">
        <f t="shared" si="365"/>
        <v>무장</v>
      </c>
      <c r="H2266" t="str">
        <f t="shared" si="369"/>
        <v>스토리위즈</v>
      </c>
      <c r="I2266" t="str">
        <f t="shared" si="366"/>
        <v>최종 보스 : 빛을 향해 달리는 그림자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>
        <v>140</v>
      </c>
      <c r="AT2266" t="str">
        <f t="shared" si="367"/>
        <v>9791166067563</v>
      </c>
      <c r="AV2266" t="str">
        <f t="shared" si="368"/>
        <v>판타지 웹소설 &gt; 현대 판타지</v>
      </c>
    </row>
    <row r="2267" spans="1:48" x14ac:dyDescent="0.4">
      <c r="A2267">
        <v>2313011400</v>
      </c>
      <c r="B2267">
        <v>2313011663</v>
      </c>
      <c r="C2267" t="str">
        <f>T("최종 보스 13권 12화")</f>
        <v>최종 보스 13권 12화</v>
      </c>
      <c r="D2267" t="str">
        <f>T("264")</f>
        <v>264</v>
      </c>
      <c r="E2267" t="str">
        <f t="shared" si="365"/>
        <v>무장</v>
      </c>
      <c r="H2267" t="str">
        <f t="shared" si="369"/>
        <v>스토리위즈</v>
      </c>
      <c r="I2267" t="str">
        <f t="shared" si="366"/>
        <v>최종 보스 : 빛을 향해 달리는 그림자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200</v>
      </c>
      <c r="AL2267">
        <v>0</v>
      </c>
      <c r="AM2267">
        <v>0</v>
      </c>
      <c r="AN2267">
        <v>0</v>
      </c>
      <c r="AO2267">
        <v>0</v>
      </c>
      <c r="AP2267">
        <v>140</v>
      </c>
      <c r="AT2267" t="str">
        <f t="shared" si="367"/>
        <v>9791166067563</v>
      </c>
      <c r="AV2267" t="str">
        <f t="shared" si="368"/>
        <v>판타지 웹소설 &gt; 현대 판타지</v>
      </c>
    </row>
    <row r="2268" spans="1:48" x14ac:dyDescent="0.4">
      <c r="A2268">
        <v>2313011400</v>
      </c>
      <c r="B2268">
        <v>2313011664</v>
      </c>
      <c r="C2268" t="str">
        <f>T("최종 보스 13권 13화")</f>
        <v>최종 보스 13권 13화</v>
      </c>
      <c r="D2268" t="str">
        <f>T("265")</f>
        <v>265</v>
      </c>
      <c r="E2268" t="str">
        <f t="shared" si="365"/>
        <v>무장</v>
      </c>
      <c r="H2268" t="str">
        <f t="shared" si="369"/>
        <v>스토리위즈</v>
      </c>
      <c r="I2268" t="str">
        <f t="shared" si="366"/>
        <v>최종 보스 : 빛을 향해 달리는 그림자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200</v>
      </c>
      <c r="AL2268">
        <v>0</v>
      </c>
      <c r="AM2268">
        <v>0</v>
      </c>
      <c r="AN2268">
        <v>0</v>
      </c>
      <c r="AO2268">
        <v>0</v>
      </c>
      <c r="AP2268">
        <v>140</v>
      </c>
      <c r="AT2268" t="str">
        <f t="shared" si="367"/>
        <v>9791166067563</v>
      </c>
      <c r="AV2268" t="str">
        <f t="shared" si="368"/>
        <v>판타지 웹소설 &gt; 현대 판타지</v>
      </c>
    </row>
    <row r="2269" spans="1:48" x14ac:dyDescent="0.4">
      <c r="A2269">
        <v>2313011400</v>
      </c>
      <c r="B2269">
        <v>2313011665</v>
      </c>
      <c r="C2269" t="str">
        <f>T("최종 보스 13권 14화")</f>
        <v>최종 보스 13권 14화</v>
      </c>
      <c r="D2269" t="str">
        <f>T("266")</f>
        <v>266</v>
      </c>
      <c r="E2269" t="str">
        <f t="shared" si="365"/>
        <v>무장</v>
      </c>
      <c r="H2269" t="str">
        <f t="shared" si="369"/>
        <v>스토리위즈</v>
      </c>
      <c r="I2269" t="str">
        <f t="shared" si="366"/>
        <v>최종 보스 : 빛을 향해 달리는 그림자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200</v>
      </c>
      <c r="AL2269">
        <v>0</v>
      </c>
      <c r="AM2269">
        <v>0</v>
      </c>
      <c r="AN2269">
        <v>0</v>
      </c>
      <c r="AO2269">
        <v>0</v>
      </c>
      <c r="AP2269">
        <v>140</v>
      </c>
      <c r="AT2269" t="str">
        <f t="shared" si="367"/>
        <v>9791166067563</v>
      </c>
      <c r="AV2269" t="str">
        <f t="shared" si="368"/>
        <v>판타지 웹소설 &gt; 현대 판타지</v>
      </c>
    </row>
    <row r="2270" spans="1:48" x14ac:dyDescent="0.4">
      <c r="A2270">
        <v>2313011400</v>
      </c>
      <c r="B2270">
        <v>2313011666</v>
      </c>
      <c r="C2270" t="str">
        <f>T("최종 보스 13권 15화")</f>
        <v>최종 보스 13권 15화</v>
      </c>
      <c r="D2270" t="str">
        <f>T("267")</f>
        <v>267</v>
      </c>
      <c r="E2270" t="str">
        <f t="shared" si="365"/>
        <v>무장</v>
      </c>
      <c r="H2270" t="str">
        <f t="shared" si="369"/>
        <v>스토리위즈</v>
      </c>
      <c r="I2270" t="str">
        <f t="shared" si="366"/>
        <v>최종 보스 : 빛을 향해 달리는 그림자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200</v>
      </c>
      <c r="AL2270">
        <v>0</v>
      </c>
      <c r="AM2270">
        <v>0</v>
      </c>
      <c r="AN2270">
        <v>0</v>
      </c>
      <c r="AO2270">
        <v>0</v>
      </c>
      <c r="AP2270">
        <v>140</v>
      </c>
      <c r="AT2270" t="str">
        <f t="shared" si="367"/>
        <v>9791166067563</v>
      </c>
      <c r="AV2270" t="str">
        <f t="shared" si="368"/>
        <v>판타지 웹소설 &gt; 현대 판타지</v>
      </c>
    </row>
    <row r="2271" spans="1:48" x14ac:dyDescent="0.4">
      <c r="A2271">
        <v>2313011400</v>
      </c>
      <c r="B2271">
        <v>2313011667</v>
      </c>
      <c r="C2271" t="str">
        <f>T("최종 보스 13권 16화")</f>
        <v>최종 보스 13권 16화</v>
      </c>
      <c r="D2271" t="str">
        <f>T("268")</f>
        <v>268</v>
      </c>
      <c r="E2271" t="str">
        <f t="shared" si="365"/>
        <v>무장</v>
      </c>
      <c r="H2271" t="str">
        <f t="shared" si="369"/>
        <v>스토리위즈</v>
      </c>
      <c r="I2271" t="str">
        <f t="shared" si="366"/>
        <v>최종 보스 : 빛을 향해 달리는 그림자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200</v>
      </c>
      <c r="AL2271">
        <v>0</v>
      </c>
      <c r="AM2271">
        <v>0</v>
      </c>
      <c r="AN2271">
        <v>0</v>
      </c>
      <c r="AO2271">
        <v>0</v>
      </c>
      <c r="AP2271">
        <v>140</v>
      </c>
      <c r="AT2271" t="str">
        <f t="shared" si="367"/>
        <v>9791166067563</v>
      </c>
      <c r="AV2271" t="str">
        <f t="shared" si="368"/>
        <v>판타지 웹소설 &gt; 현대 판타지</v>
      </c>
    </row>
    <row r="2272" spans="1:48" x14ac:dyDescent="0.4">
      <c r="A2272">
        <v>2313011400</v>
      </c>
      <c r="B2272">
        <v>2313011668</v>
      </c>
      <c r="C2272" t="str">
        <f>T("최종 보스 13권 17화")</f>
        <v>최종 보스 13권 17화</v>
      </c>
      <c r="D2272" t="str">
        <f>T("269")</f>
        <v>269</v>
      </c>
      <c r="E2272" t="str">
        <f t="shared" si="365"/>
        <v>무장</v>
      </c>
      <c r="H2272" t="str">
        <f t="shared" si="369"/>
        <v>스토리위즈</v>
      </c>
      <c r="I2272" t="str">
        <f t="shared" si="366"/>
        <v>최종 보스 : 빛을 향해 달리는 그림자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200</v>
      </c>
      <c r="AL2272">
        <v>0</v>
      </c>
      <c r="AM2272">
        <v>0</v>
      </c>
      <c r="AN2272">
        <v>0</v>
      </c>
      <c r="AO2272">
        <v>0</v>
      </c>
      <c r="AP2272">
        <v>140</v>
      </c>
      <c r="AT2272" t="str">
        <f t="shared" si="367"/>
        <v>9791166067563</v>
      </c>
      <c r="AV2272" t="str">
        <f t="shared" si="368"/>
        <v>판타지 웹소설 &gt; 현대 판타지</v>
      </c>
    </row>
    <row r="2273" spans="1:48" x14ac:dyDescent="0.4">
      <c r="A2273">
        <v>2313011400</v>
      </c>
      <c r="B2273">
        <v>2313011669</v>
      </c>
      <c r="C2273" t="str">
        <f>T("최종 보스 13권 18화")</f>
        <v>최종 보스 13권 18화</v>
      </c>
      <c r="D2273" t="str">
        <f>T("270")</f>
        <v>270</v>
      </c>
      <c r="E2273" t="str">
        <f t="shared" ref="E2273:E2332" si="370">T("무장")</f>
        <v>무장</v>
      </c>
      <c r="H2273" t="str">
        <f t="shared" si="369"/>
        <v>스토리위즈</v>
      </c>
      <c r="I2273" t="str">
        <f t="shared" ref="I2273:I2332" si="371">T("최종 보스 : 빛을 향해 달리는 그림자")</f>
        <v>최종 보스 : 빛을 향해 달리는 그림자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200</v>
      </c>
      <c r="AL2273">
        <v>0</v>
      </c>
      <c r="AM2273">
        <v>0</v>
      </c>
      <c r="AN2273">
        <v>0</v>
      </c>
      <c r="AO2273">
        <v>0</v>
      </c>
      <c r="AP2273">
        <v>140</v>
      </c>
      <c r="AT2273" t="str">
        <f t="shared" ref="AT2273:AT2332" si="372">T("9791166067563")</f>
        <v>9791166067563</v>
      </c>
      <c r="AV2273" t="str">
        <f t="shared" ref="AV2273:AV2332" si="373">T("판타지 웹소설 &gt; 현대 판타지")</f>
        <v>판타지 웹소설 &gt; 현대 판타지</v>
      </c>
    </row>
    <row r="2274" spans="1:48" x14ac:dyDescent="0.4">
      <c r="A2274">
        <v>2313011400</v>
      </c>
      <c r="B2274">
        <v>2313011670</v>
      </c>
      <c r="C2274" t="str">
        <f>T("최종 보스 13권 19화")</f>
        <v>최종 보스 13권 19화</v>
      </c>
      <c r="D2274" t="str">
        <f>T("271")</f>
        <v>271</v>
      </c>
      <c r="E2274" t="str">
        <f t="shared" si="370"/>
        <v>무장</v>
      </c>
      <c r="H2274" t="str">
        <f t="shared" si="369"/>
        <v>스토리위즈</v>
      </c>
      <c r="I2274" t="str">
        <f t="shared" si="371"/>
        <v>최종 보스 : 빛을 향해 달리는 그림자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200</v>
      </c>
      <c r="AL2274">
        <v>0</v>
      </c>
      <c r="AM2274">
        <v>0</v>
      </c>
      <c r="AN2274">
        <v>0</v>
      </c>
      <c r="AO2274">
        <v>0</v>
      </c>
      <c r="AP2274">
        <v>140</v>
      </c>
      <c r="AT2274" t="str">
        <f t="shared" si="372"/>
        <v>9791166067563</v>
      </c>
      <c r="AV2274" t="str">
        <f t="shared" si="373"/>
        <v>판타지 웹소설 &gt; 현대 판타지</v>
      </c>
    </row>
    <row r="2275" spans="1:48" x14ac:dyDescent="0.4">
      <c r="A2275">
        <v>2313011400</v>
      </c>
      <c r="B2275">
        <v>2313011671</v>
      </c>
      <c r="C2275" t="str">
        <f>T("최종 보스 13권 20화")</f>
        <v>최종 보스 13권 20화</v>
      </c>
      <c r="D2275" t="str">
        <f>T("272")</f>
        <v>272</v>
      </c>
      <c r="E2275" t="str">
        <f t="shared" si="370"/>
        <v>무장</v>
      </c>
      <c r="H2275" t="str">
        <f t="shared" ref="H2275:H2338" si="374">T("스토리위즈")</f>
        <v>스토리위즈</v>
      </c>
      <c r="I2275" t="str">
        <f t="shared" si="371"/>
        <v>최종 보스 : 빛을 향해 달리는 그림자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>
        <v>140</v>
      </c>
      <c r="AT2275" t="str">
        <f t="shared" si="372"/>
        <v>9791166067563</v>
      </c>
      <c r="AV2275" t="str">
        <f t="shared" si="373"/>
        <v>판타지 웹소설 &gt; 현대 판타지</v>
      </c>
    </row>
    <row r="2276" spans="1:48" x14ac:dyDescent="0.4">
      <c r="A2276">
        <v>2313011400</v>
      </c>
      <c r="B2276">
        <v>2313011672</v>
      </c>
      <c r="C2276" t="str">
        <f>T("최종 보스 14권 1화")</f>
        <v>최종 보스 14권 1화</v>
      </c>
      <c r="D2276" t="str">
        <f>T("273")</f>
        <v>273</v>
      </c>
      <c r="E2276" t="str">
        <f t="shared" si="370"/>
        <v>무장</v>
      </c>
      <c r="H2276" t="str">
        <f t="shared" si="374"/>
        <v>스토리위즈</v>
      </c>
      <c r="I2276" t="str">
        <f t="shared" si="371"/>
        <v>최종 보스 : 빛을 향해 달리는 그림자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200</v>
      </c>
      <c r="AL2276">
        <v>0</v>
      </c>
      <c r="AM2276">
        <v>0</v>
      </c>
      <c r="AN2276">
        <v>0</v>
      </c>
      <c r="AO2276">
        <v>0</v>
      </c>
      <c r="AP2276">
        <v>140</v>
      </c>
      <c r="AT2276" t="str">
        <f t="shared" si="372"/>
        <v>9791166067563</v>
      </c>
      <c r="AV2276" t="str">
        <f t="shared" si="373"/>
        <v>판타지 웹소설 &gt; 현대 판타지</v>
      </c>
    </row>
    <row r="2277" spans="1:48" x14ac:dyDescent="0.4">
      <c r="A2277">
        <v>2313011400</v>
      </c>
      <c r="B2277">
        <v>2313011673</v>
      </c>
      <c r="C2277" t="str">
        <f>T("최종 보스 14권 2화")</f>
        <v>최종 보스 14권 2화</v>
      </c>
      <c r="D2277" t="str">
        <f>T("274")</f>
        <v>274</v>
      </c>
      <c r="E2277" t="str">
        <f t="shared" si="370"/>
        <v>무장</v>
      </c>
      <c r="H2277" t="str">
        <f t="shared" si="374"/>
        <v>스토리위즈</v>
      </c>
      <c r="I2277" t="str">
        <f t="shared" si="371"/>
        <v>최종 보스 : 빛을 향해 달리는 그림자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>
        <v>140</v>
      </c>
      <c r="AT2277" t="str">
        <f t="shared" si="372"/>
        <v>9791166067563</v>
      </c>
      <c r="AV2277" t="str">
        <f t="shared" si="373"/>
        <v>판타지 웹소설 &gt; 현대 판타지</v>
      </c>
    </row>
    <row r="2278" spans="1:48" x14ac:dyDescent="0.4">
      <c r="A2278">
        <v>2313011400</v>
      </c>
      <c r="B2278">
        <v>2313011674</v>
      </c>
      <c r="C2278" t="str">
        <f>T("최종 보스 14권 3화")</f>
        <v>최종 보스 14권 3화</v>
      </c>
      <c r="D2278" t="str">
        <f>T("275")</f>
        <v>275</v>
      </c>
      <c r="E2278" t="str">
        <f t="shared" si="370"/>
        <v>무장</v>
      </c>
      <c r="H2278" t="str">
        <f t="shared" si="374"/>
        <v>스토리위즈</v>
      </c>
      <c r="I2278" t="str">
        <f t="shared" si="371"/>
        <v>최종 보스 : 빛을 향해 달리는 그림자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>
        <v>140</v>
      </c>
      <c r="AT2278" t="str">
        <f t="shared" si="372"/>
        <v>9791166067563</v>
      </c>
      <c r="AV2278" t="str">
        <f t="shared" si="373"/>
        <v>판타지 웹소설 &gt; 현대 판타지</v>
      </c>
    </row>
    <row r="2279" spans="1:48" x14ac:dyDescent="0.4">
      <c r="A2279">
        <v>2313011400</v>
      </c>
      <c r="B2279">
        <v>2313011675</v>
      </c>
      <c r="C2279" t="str">
        <f>T("최종 보스 14권 4화")</f>
        <v>최종 보스 14권 4화</v>
      </c>
      <c r="D2279" t="str">
        <f>T("276")</f>
        <v>276</v>
      </c>
      <c r="E2279" t="str">
        <f t="shared" si="370"/>
        <v>무장</v>
      </c>
      <c r="H2279" t="str">
        <f t="shared" si="374"/>
        <v>스토리위즈</v>
      </c>
      <c r="I2279" t="str">
        <f t="shared" si="371"/>
        <v>최종 보스 : 빛을 향해 달리는 그림자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>
        <v>140</v>
      </c>
      <c r="AT2279" t="str">
        <f t="shared" si="372"/>
        <v>9791166067563</v>
      </c>
      <c r="AV2279" t="str">
        <f t="shared" si="373"/>
        <v>판타지 웹소설 &gt; 현대 판타지</v>
      </c>
    </row>
    <row r="2280" spans="1:48" x14ac:dyDescent="0.4">
      <c r="A2280">
        <v>2313011400</v>
      </c>
      <c r="B2280">
        <v>2313011676</v>
      </c>
      <c r="C2280" t="str">
        <f>T("최종 보스 14권 5화")</f>
        <v>최종 보스 14권 5화</v>
      </c>
      <c r="D2280" t="str">
        <f>T("277")</f>
        <v>277</v>
      </c>
      <c r="E2280" t="str">
        <f t="shared" si="370"/>
        <v>무장</v>
      </c>
      <c r="H2280" t="str">
        <f t="shared" si="374"/>
        <v>스토리위즈</v>
      </c>
      <c r="I2280" t="str">
        <f t="shared" si="371"/>
        <v>최종 보스 : 빛을 향해 달리는 그림자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>
        <v>140</v>
      </c>
      <c r="AT2280" t="str">
        <f t="shared" si="372"/>
        <v>9791166067563</v>
      </c>
      <c r="AV2280" t="str">
        <f t="shared" si="373"/>
        <v>판타지 웹소설 &gt; 현대 판타지</v>
      </c>
    </row>
    <row r="2281" spans="1:48" x14ac:dyDescent="0.4">
      <c r="A2281">
        <v>2313011400</v>
      </c>
      <c r="B2281">
        <v>2313011677</v>
      </c>
      <c r="C2281" t="str">
        <f>T("최종 보스 14권 6화")</f>
        <v>최종 보스 14권 6화</v>
      </c>
      <c r="D2281" t="str">
        <f>T("278")</f>
        <v>278</v>
      </c>
      <c r="E2281" t="str">
        <f t="shared" si="370"/>
        <v>무장</v>
      </c>
      <c r="H2281" t="str">
        <f t="shared" si="374"/>
        <v>스토리위즈</v>
      </c>
      <c r="I2281" t="str">
        <f t="shared" si="371"/>
        <v>최종 보스 : 빛을 향해 달리는 그림자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>
        <v>140</v>
      </c>
      <c r="AT2281" t="str">
        <f t="shared" si="372"/>
        <v>9791166067563</v>
      </c>
      <c r="AV2281" t="str">
        <f t="shared" si="373"/>
        <v>판타지 웹소설 &gt; 현대 판타지</v>
      </c>
    </row>
    <row r="2282" spans="1:48" x14ac:dyDescent="0.4">
      <c r="A2282">
        <v>2313011400</v>
      </c>
      <c r="B2282">
        <v>2313011678</v>
      </c>
      <c r="C2282" t="str">
        <f>T("최종 보스 14권 7화")</f>
        <v>최종 보스 14권 7화</v>
      </c>
      <c r="D2282" t="str">
        <f>T("279")</f>
        <v>279</v>
      </c>
      <c r="E2282" t="str">
        <f t="shared" si="370"/>
        <v>무장</v>
      </c>
      <c r="H2282" t="str">
        <f t="shared" si="374"/>
        <v>스토리위즈</v>
      </c>
      <c r="I2282" t="str">
        <f t="shared" si="371"/>
        <v>최종 보스 : 빛을 향해 달리는 그림자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200</v>
      </c>
      <c r="AL2282">
        <v>0</v>
      </c>
      <c r="AM2282">
        <v>0</v>
      </c>
      <c r="AN2282">
        <v>0</v>
      </c>
      <c r="AO2282">
        <v>0</v>
      </c>
      <c r="AP2282">
        <v>140</v>
      </c>
      <c r="AT2282" t="str">
        <f t="shared" si="372"/>
        <v>9791166067563</v>
      </c>
      <c r="AV2282" t="str">
        <f t="shared" si="373"/>
        <v>판타지 웹소설 &gt; 현대 판타지</v>
      </c>
    </row>
    <row r="2283" spans="1:48" x14ac:dyDescent="0.4">
      <c r="A2283">
        <v>2313011400</v>
      </c>
      <c r="B2283">
        <v>2313011679</v>
      </c>
      <c r="C2283" t="str">
        <f>T("최종 보스 14권 8화")</f>
        <v>최종 보스 14권 8화</v>
      </c>
      <c r="D2283" t="str">
        <f>T("280")</f>
        <v>280</v>
      </c>
      <c r="E2283" t="str">
        <f t="shared" si="370"/>
        <v>무장</v>
      </c>
      <c r="H2283" t="str">
        <f t="shared" si="374"/>
        <v>스토리위즈</v>
      </c>
      <c r="I2283" t="str">
        <f t="shared" si="371"/>
        <v>최종 보스 : 빛을 향해 달리는 그림자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200</v>
      </c>
      <c r="AL2283">
        <v>0</v>
      </c>
      <c r="AM2283">
        <v>0</v>
      </c>
      <c r="AN2283">
        <v>0</v>
      </c>
      <c r="AO2283">
        <v>0</v>
      </c>
      <c r="AP2283">
        <v>140</v>
      </c>
      <c r="AT2283" t="str">
        <f t="shared" si="372"/>
        <v>9791166067563</v>
      </c>
      <c r="AV2283" t="str">
        <f t="shared" si="373"/>
        <v>판타지 웹소설 &gt; 현대 판타지</v>
      </c>
    </row>
    <row r="2284" spans="1:48" x14ac:dyDescent="0.4">
      <c r="A2284">
        <v>2313011400</v>
      </c>
      <c r="B2284">
        <v>2313011680</v>
      </c>
      <c r="C2284" t="str">
        <f>T("최종 보스 14권 9화")</f>
        <v>최종 보스 14권 9화</v>
      </c>
      <c r="D2284" t="str">
        <f>T("281")</f>
        <v>281</v>
      </c>
      <c r="E2284" t="str">
        <f t="shared" si="370"/>
        <v>무장</v>
      </c>
      <c r="H2284" t="str">
        <f t="shared" si="374"/>
        <v>스토리위즈</v>
      </c>
      <c r="I2284" t="str">
        <f t="shared" si="371"/>
        <v>최종 보스 : 빛을 향해 달리는 그림자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>
        <v>140</v>
      </c>
      <c r="AT2284" t="str">
        <f t="shared" si="372"/>
        <v>9791166067563</v>
      </c>
      <c r="AV2284" t="str">
        <f t="shared" si="373"/>
        <v>판타지 웹소설 &gt; 현대 판타지</v>
      </c>
    </row>
    <row r="2285" spans="1:48" x14ac:dyDescent="0.4">
      <c r="A2285">
        <v>2313011400</v>
      </c>
      <c r="B2285">
        <v>2313011681</v>
      </c>
      <c r="C2285" t="str">
        <f>T("최종 보스 14권 10화")</f>
        <v>최종 보스 14권 10화</v>
      </c>
      <c r="D2285" t="str">
        <f>T("282")</f>
        <v>282</v>
      </c>
      <c r="E2285" t="str">
        <f t="shared" si="370"/>
        <v>무장</v>
      </c>
      <c r="H2285" t="str">
        <f t="shared" si="374"/>
        <v>스토리위즈</v>
      </c>
      <c r="I2285" t="str">
        <f t="shared" si="371"/>
        <v>최종 보스 : 빛을 향해 달리는 그림자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>
        <v>140</v>
      </c>
      <c r="AT2285" t="str">
        <f t="shared" si="372"/>
        <v>9791166067563</v>
      </c>
      <c r="AV2285" t="str">
        <f t="shared" si="373"/>
        <v>판타지 웹소설 &gt; 현대 판타지</v>
      </c>
    </row>
    <row r="2286" spans="1:48" x14ac:dyDescent="0.4">
      <c r="A2286">
        <v>2313011400</v>
      </c>
      <c r="B2286">
        <v>2313011683</v>
      </c>
      <c r="C2286" t="str">
        <f>T("최종 보스 14권 12화")</f>
        <v>최종 보스 14권 12화</v>
      </c>
      <c r="D2286" t="str">
        <f>T("284")</f>
        <v>284</v>
      </c>
      <c r="E2286" t="str">
        <f t="shared" si="370"/>
        <v>무장</v>
      </c>
      <c r="H2286" t="str">
        <f t="shared" si="374"/>
        <v>스토리위즈</v>
      </c>
      <c r="I2286" t="str">
        <f t="shared" si="371"/>
        <v>최종 보스 : 빛을 향해 달리는 그림자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>
        <v>140</v>
      </c>
      <c r="AT2286" t="str">
        <f t="shared" si="372"/>
        <v>9791166067563</v>
      </c>
      <c r="AV2286" t="str">
        <f t="shared" si="373"/>
        <v>판타지 웹소설 &gt; 현대 판타지</v>
      </c>
    </row>
    <row r="2287" spans="1:48" x14ac:dyDescent="0.4">
      <c r="A2287">
        <v>2313011400</v>
      </c>
      <c r="B2287">
        <v>2313011684</v>
      </c>
      <c r="C2287" t="str">
        <f>T("최종 보스 14권 13화")</f>
        <v>최종 보스 14권 13화</v>
      </c>
      <c r="D2287" t="str">
        <f>T("285")</f>
        <v>285</v>
      </c>
      <c r="E2287" t="str">
        <f t="shared" si="370"/>
        <v>무장</v>
      </c>
      <c r="H2287" t="str">
        <f t="shared" si="374"/>
        <v>스토리위즈</v>
      </c>
      <c r="I2287" t="str">
        <f t="shared" si="371"/>
        <v>최종 보스 : 빛을 향해 달리는 그림자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0</v>
      </c>
      <c r="AP2287">
        <v>140</v>
      </c>
      <c r="AT2287" t="str">
        <f t="shared" si="372"/>
        <v>9791166067563</v>
      </c>
      <c r="AV2287" t="str">
        <f t="shared" si="373"/>
        <v>판타지 웹소설 &gt; 현대 판타지</v>
      </c>
    </row>
    <row r="2288" spans="1:48" x14ac:dyDescent="0.4">
      <c r="A2288">
        <v>2313011400</v>
      </c>
      <c r="B2288">
        <v>2313011685</v>
      </c>
      <c r="C2288" t="str">
        <f>T("최종 보스 14권 14화")</f>
        <v>최종 보스 14권 14화</v>
      </c>
      <c r="D2288" t="str">
        <f>T("286")</f>
        <v>286</v>
      </c>
      <c r="E2288" t="str">
        <f t="shared" si="370"/>
        <v>무장</v>
      </c>
      <c r="H2288" t="str">
        <f t="shared" si="374"/>
        <v>스토리위즈</v>
      </c>
      <c r="I2288" t="str">
        <f t="shared" si="371"/>
        <v>최종 보스 : 빛을 향해 달리는 그림자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200</v>
      </c>
      <c r="AL2288">
        <v>0</v>
      </c>
      <c r="AM2288">
        <v>0</v>
      </c>
      <c r="AN2288">
        <v>0</v>
      </c>
      <c r="AO2288">
        <v>0</v>
      </c>
      <c r="AP2288">
        <v>140</v>
      </c>
      <c r="AT2288" t="str">
        <f t="shared" si="372"/>
        <v>9791166067563</v>
      </c>
      <c r="AV2288" t="str">
        <f t="shared" si="373"/>
        <v>판타지 웹소설 &gt; 현대 판타지</v>
      </c>
    </row>
    <row r="2289" spans="1:48" x14ac:dyDescent="0.4">
      <c r="A2289">
        <v>2313011400</v>
      </c>
      <c r="B2289">
        <v>2313011686</v>
      </c>
      <c r="C2289" t="str">
        <f>T("최종 보스 14권 15화")</f>
        <v>최종 보스 14권 15화</v>
      </c>
      <c r="D2289" t="str">
        <f>T("287")</f>
        <v>287</v>
      </c>
      <c r="E2289" t="str">
        <f t="shared" si="370"/>
        <v>무장</v>
      </c>
      <c r="H2289" t="str">
        <f t="shared" si="374"/>
        <v>스토리위즈</v>
      </c>
      <c r="I2289" t="str">
        <f t="shared" si="371"/>
        <v>최종 보스 : 빛을 향해 달리는 그림자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200</v>
      </c>
      <c r="AL2289">
        <v>0</v>
      </c>
      <c r="AM2289">
        <v>0</v>
      </c>
      <c r="AN2289">
        <v>0</v>
      </c>
      <c r="AO2289">
        <v>0</v>
      </c>
      <c r="AP2289">
        <v>140</v>
      </c>
      <c r="AT2289" t="str">
        <f t="shared" si="372"/>
        <v>9791166067563</v>
      </c>
      <c r="AV2289" t="str">
        <f t="shared" si="373"/>
        <v>판타지 웹소설 &gt; 현대 판타지</v>
      </c>
    </row>
    <row r="2290" spans="1:48" x14ac:dyDescent="0.4">
      <c r="A2290">
        <v>2313011400</v>
      </c>
      <c r="B2290">
        <v>2313011687</v>
      </c>
      <c r="C2290" t="str">
        <f>T("최종 보스 14권 16화")</f>
        <v>최종 보스 14권 16화</v>
      </c>
      <c r="D2290" t="str">
        <f>T("288")</f>
        <v>288</v>
      </c>
      <c r="E2290" t="str">
        <f t="shared" si="370"/>
        <v>무장</v>
      </c>
      <c r="H2290" t="str">
        <f t="shared" si="374"/>
        <v>스토리위즈</v>
      </c>
      <c r="I2290" t="str">
        <f t="shared" si="371"/>
        <v>최종 보스 : 빛을 향해 달리는 그림자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>
        <v>140</v>
      </c>
      <c r="AT2290" t="str">
        <f t="shared" si="372"/>
        <v>9791166067563</v>
      </c>
      <c r="AV2290" t="str">
        <f t="shared" si="373"/>
        <v>판타지 웹소설 &gt; 현대 판타지</v>
      </c>
    </row>
    <row r="2291" spans="1:48" x14ac:dyDescent="0.4">
      <c r="A2291">
        <v>2313011400</v>
      </c>
      <c r="B2291">
        <v>2313011688</v>
      </c>
      <c r="C2291" t="str">
        <f>T("최종 보스 14권 17화")</f>
        <v>최종 보스 14권 17화</v>
      </c>
      <c r="D2291" t="str">
        <f>T("289")</f>
        <v>289</v>
      </c>
      <c r="E2291" t="str">
        <f t="shared" si="370"/>
        <v>무장</v>
      </c>
      <c r="H2291" t="str">
        <f t="shared" si="374"/>
        <v>스토리위즈</v>
      </c>
      <c r="I2291" t="str">
        <f t="shared" si="371"/>
        <v>최종 보스 : 빛을 향해 달리는 그림자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>
        <v>140</v>
      </c>
      <c r="AT2291" t="str">
        <f t="shared" si="372"/>
        <v>9791166067563</v>
      </c>
      <c r="AV2291" t="str">
        <f t="shared" si="373"/>
        <v>판타지 웹소설 &gt; 현대 판타지</v>
      </c>
    </row>
    <row r="2292" spans="1:48" x14ac:dyDescent="0.4">
      <c r="A2292">
        <v>2313011400</v>
      </c>
      <c r="B2292">
        <v>2313011689</v>
      </c>
      <c r="C2292" t="str">
        <f>T("최종 보스 14권 18화")</f>
        <v>최종 보스 14권 18화</v>
      </c>
      <c r="D2292" t="str">
        <f>T("290")</f>
        <v>290</v>
      </c>
      <c r="E2292" t="str">
        <f t="shared" si="370"/>
        <v>무장</v>
      </c>
      <c r="H2292" t="str">
        <f t="shared" si="374"/>
        <v>스토리위즈</v>
      </c>
      <c r="I2292" t="str">
        <f t="shared" si="371"/>
        <v>최종 보스 : 빛을 향해 달리는 그림자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0</v>
      </c>
      <c r="AP2292">
        <v>140</v>
      </c>
      <c r="AT2292" t="str">
        <f t="shared" si="372"/>
        <v>9791166067563</v>
      </c>
      <c r="AV2292" t="str">
        <f t="shared" si="373"/>
        <v>판타지 웹소설 &gt; 현대 판타지</v>
      </c>
    </row>
    <row r="2293" spans="1:48" x14ac:dyDescent="0.4">
      <c r="A2293">
        <v>2313011400</v>
      </c>
      <c r="B2293">
        <v>2313011690</v>
      </c>
      <c r="C2293" t="str">
        <f>T("최종 보스 14권 19화")</f>
        <v>최종 보스 14권 19화</v>
      </c>
      <c r="D2293" t="str">
        <f>T("291")</f>
        <v>291</v>
      </c>
      <c r="E2293" t="str">
        <f t="shared" si="370"/>
        <v>무장</v>
      </c>
      <c r="H2293" t="str">
        <f t="shared" si="374"/>
        <v>스토리위즈</v>
      </c>
      <c r="I2293" t="str">
        <f t="shared" si="371"/>
        <v>최종 보스 : 빛을 향해 달리는 그림자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0</v>
      </c>
      <c r="AP2293">
        <v>140</v>
      </c>
      <c r="AT2293" t="str">
        <f t="shared" si="372"/>
        <v>9791166067563</v>
      </c>
      <c r="AV2293" t="str">
        <f t="shared" si="373"/>
        <v>판타지 웹소설 &gt; 현대 판타지</v>
      </c>
    </row>
    <row r="2294" spans="1:48" x14ac:dyDescent="0.4">
      <c r="A2294">
        <v>2313011400</v>
      </c>
      <c r="B2294">
        <v>2313011691</v>
      </c>
      <c r="C2294" t="str">
        <f>T("최종 보스 14권 20화")</f>
        <v>최종 보스 14권 20화</v>
      </c>
      <c r="D2294" t="str">
        <f>T("292")</f>
        <v>292</v>
      </c>
      <c r="E2294" t="str">
        <f t="shared" si="370"/>
        <v>무장</v>
      </c>
      <c r="H2294" t="str">
        <f t="shared" si="374"/>
        <v>스토리위즈</v>
      </c>
      <c r="I2294" t="str">
        <f t="shared" si="371"/>
        <v>최종 보스 : 빛을 향해 달리는 그림자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0</v>
      </c>
      <c r="AP2294">
        <v>140</v>
      </c>
      <c r="AT2294" t="str">
        <f t="shared" si="372"/>
        <v>9791166067563</v>
      </c>
      <c r="AV2294" t="str">
        <f t="shared" si="373"/>
        <v>판타지 웹소설 &gt; 현대 판타지</v>
      </c>
    </row>
    <row r="2295" spans="1:48" x14ac:dyDescent="0.4">
      <c r="A2295">
        <v>2313011400</v>
      </c>
      <c r="B2295">
        <v>2313011692</v>
      </c>
      <c r="C2295" t="str">
        <f>T("최종 보스 15권 1화")</f>
        <v>최종 보스 15권 1화</v>
      </c>
      <c r="D2295" t="str">
        <f>T("293")</f>
        <v>293</v>
      </c>
      <c r="E2295" t="str">
        <f t="shared" si="370"/>
        <v>무장</v>
      </c>
      <c r="H2295" t="str">
        <f t="shared" si="374"/>
        <v>스토리위즈</v>
      </c>
      <c r="I2295" t="str">
        <f t="shared" si="371"/>
        <v>최종 보스 : 빛을 향해 달리는 그림자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>
        <v>140</v>
      </c>
      <c r="AT2295" t="str">
        <f t="shared" si="372"/>
        <v>9791166067563</v>
      </c>
      <c r="AV2295" t="str">
        <f t="shared" si="373"/>
        <v>판타지 웹소설 &gt; 현대 판타지</v>
      </c>
    </row>
    <row r="2296" spans="1:48" x14ac:dyDescent="0.4">
      <c r="A2296">
        <v>2313011400</v>
      </c>
      <c r="B2296">
        <v>2313011693</v>
      </c>
      <c r="C2296" t="str">
        <f>T("최종 보스 15권 2화")</f>
        <v>최종 보스 15권 2화</v>
      </c>
      <c r="D2296" t="str">
        <f>T("294")</f>
        <v>294</v>
      </c>
      <c r="E2296" t="str">
        <f t="shared" si="370"/>
        <v>무장</v>
      </c>
      <c r="H2296" t="str">
        <f t="shared" si="374"/>
        <v>스토리위즈</v>
      </c>
      <c r="I2296" t="str">
        <f t="shared" si="371"/>
        <v>최종 보스 : 빛을 향해 달리는 그림자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0</v>
      </c>
      <c r="AP2296">
        <v>140</v>
      </c>
      <c r="AT2296" t="str">
        <f t="shared" si="372"/>
        <v>9791166067563</v>
      </c>
      <c r="AV2296" t="str">
        <f t="shared" si="373"/>
        <v>판타지 웹소설 &gt; 현대 판타지</v>
      </c>
    </row>
    <row r="2297" spans="1:48" x14ac:dyDescent="0.4">
      <c r="A2297">
        <v>2313011400</v>
      </c>
      <c r="B2297">
        <v>2313011694</v>
      </c>
      <c r="C2297" t="str">
        <f>T("최종 보스 15권 3화")</f>
        <v>최종 보스 15권 3화</v>
      </c>
      <c r="D2297" t="str">
        <f>T("295")</f>
        <v>295</v>
      </c>
      <c r="E2297" t="str">
        <f t="shared" si="370"/>
        <v>무장</v>
      </c>
      <c r="H2297" t="str">
        <f t="shared" si="374"/>
        <v>스토리위즈</v>
      </c>
      <c r="I2297" t="str">
        <f t="shared" si="371"/>
        <v>최종 보스 : 빛을 향해 달리는 그림자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>
        <v>140</v>
      </c>
      <c r="AT2297" t="str">
        <f t="shared" si="372"/>
        <v>9791166067563</v>
      </c>
      <c r="AV2297" t="str">
        <f t="shared" si="373"/>
        <v>판타지 웹소설 &gt; 현대 판타지</v>
      </c>
    </row>
    <row r="2298" spans="1:48" x14ac:dyDescent="0.4">
      <c r="A2298">
        <v>2313011400</v>
      </c>
      <c r="B2298">
        <v>2313011695</v>
      </c>
      <c r="C2298" t="str">
        <f>T("최종 보스 15권 4화")</f>
        <v>최종 보스 15권 4화</v>
      </c>
      <c r="D2298" t="str">
        <f>T("296")</f>
        <v>296</v>
      </c>
      <c r="E2298" t="str">
        <f t="shared" si="370"/>
        <v>무장</v>
      </c>
      <c r="H2298" t="str">
        <f t="shared" si="374"/>
        <v>스토리위즈</v>
      </c>
      <c r="I2298" t="str">
        <f t="shared" si="371"/>
        <v>최종 보스 : 빛을 향해 달리는 그림자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>
        <v>140</v>
      </c>
      <c r="AT2298" t="str">
        <f t="shared" si="372"/>
        <v>9791166067563</v>
      </c>
      <c r="AV2298" t="str">
        <f t="shared" si="373"/>
        <v>판타지 웹소설 &gt; 현대 판타지</v>
      </c>
    </row>
    <row r="2299" spans="1:48" x14ac:dyDescent="0.4">
      <c r="A2299">
        <v>2313011400</v>
      </c>
      <c r="B2299">
        <v>2313011696</v>
      </c>
      <c r="C2299" t="str">
        <f>T("최종 보스 15권 5화")</f>
        <v>최종 보스 15권 5화</v>
      </c>
      <c r="D2299" t="str">
        <f>T("297")</f>
        <v>297</v>
      </c>
      <c r="E2299" t="str">
        <f t="shared" si="370"/>
        <v>무장</v>
      </c>
      <c r="H2299" t="str">
        <f t="shared" si="374"/>
        <v>스토리위즈</v>
      </c>
      <c r="I2299" t="str">
        <f t="shared" si="371"/>
        <v>최종 보스 : 빛을 향해 달리는 그림자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>
        <v>140</v>
      </c>
      <c r="AT2299" t="str">
        <f t="shared" si="372"/>
        <v>9791166067563</v>
      </c>
      <c r="AV2299" t="str">
        <f t="shared" si="373"/>
        <v>판타지 웹소설 &gt; 현대 판타지</v>
      </c>
    </row>
    <row r="2300" spans="1:48" x14ac:dyDescent="0.4">
      <c r="A2300">
        <v>2313011400</v>
      </c>
      <c r="B2300">
        <v>2313011697</v>
      </c>
      <c r="C2300" t="str">
        <f>T("최종 보스 15권 6화")</f>
        <v>최종 보스 15권 6화</v>
      </c>
      <c r="D2300" t="str">
        <f>T("298")</f>
        <v>298</v>
      </c>
      <c r="E2300" t="str">
        <f t="shared" si="370"/>
        <v>무장</v>
      </c>
      <c r="H2300" t="str">
        <f t="shared" si="374"/>
        <v>스토리위즈</v>
      </c>
      <c r="I2300" t="str">
        <f t="shared" si="371"/>
        <v>최종 보스 : 빛을 향해 달리는 그림자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>
        <v>140</v>
      </c>
      <c r="AT2300" t="str">
        <f t="shared" si="372"/>
        <v>9791166067563</v>
      </c>
      <c r="AV2300" t="str">
        <f t="shared" si="373"/>
        <v>판타지 웹소설 &gt; 현대 판타지</v>
      </c>
    </row>
    <row r="2301" spans="1:48" x14ac:dyDescent="0.4">
      <c r="A2301">
        <v>2313011400</v>
      </c>
      <c r="B2301">
        <v>2313011698</v>
      </c>
      <c r="C2301" t="str">
        <f>T("최종 보스 15권 7화")</f>
        <v>최종 보스 15권 7화</v>
      </c>
      <c r="D2301" t="str">
        <f>T("299")</f>
        <v>299</v>
      </c>
      <c r="E2301" t="str">
        <f t="shared" si="370"/>
        <v>무장</v>
      </c>
      <c r="H2301" t="str">
        <f t="shared" si="374"/>
        <v>스토리위즈</v>
      </c>
      <c r="I2301" t="str">
        <f t="shared" si="371"/>
        <v>최종 보스 : 빛을 향해 달리는 그림자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>
        <v>140</v>
      </c>
      <c r="AT2301" t="str">
        <f t="shared" si="372"/>
        <v>9791166067563</v>
      </c>
      <c r="AV2301" t="str">
        <f t="shared" si="373"/>
        <v>판타지 웹소설 &gt; 현대 판타지</v>
      </c>
    </row>
    <row r="2302" spans="1:48" x14ac:dyDescent="0.4">
      <c r="A2302">
        <v>2313011400</v>
      </c>
      <c r="B2302">
        <v>2313011699</v>
      </c>
      <c r="C2302" t="str">
        <f>T("최종 보스 15권 8화")</f>
        <v>최종 보스 15권 8화</v>
      </c>
      <c r="D2302" t="str">
        <f>T("300")</f>
        <v>300</v>
      </c>
      <c r="E2302" t="str">
        <f t="shared" si="370"/>
        <v>무장</v>
      </c>
      <c r="H2302" t="str">
        <f t="shared" si="374"/>
        <v>스토리위즈</v>
      </c>
      <c r="I2302" t="str">
        <f t="shared" si="371"/>
        <v>최종 보스 : 빛을 향해 달리는 그림자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>
        <v>140</v>
      </c>
      <c r="AT2302" t="str">
        <f t="shared" si="372"/>
        <v>9791166067563</v>
      </c>
      <c r="AV2302" t="str">
        <f t="shared" si="373"/>
        <v>판타지 웹소설 &gt; 현대 판타지</v>
      </c>
    </row>
    <row r="2303" spans="1:48" x14ac:dyDescent="0.4">
      <c r="A2303">
        <v>2313011400</v>
      </c>
      <c r="B2303">
        <v>2313011700</v>
      </c>
      <c r="C2303" t="str">
        <f>T("최종 보스 15권 9화")</f>
        <v>최종 보스 15권 9화</v>
      </c>
      <c r="D2303" t="str">
        <f>T("301")</f>
        <v>301</v>
      </c>
      <c r="E2303" t="str">
        <f t="shared" si="370"/>
        <v>무장</v>
      </c>
      <c r="H2303" t="str">
        <f t="shared" si="374"/>
        <v>스토리위즈</v>
      </c>
      <c r="I2303" t="str">
        <f t="shared" si="371"/>
        <v>최종 보스 : 빛을 향해 달리는 그림자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>
        <v>140</v>
      </c>
      <c r="AT2303" t="str">
        <f t="shared" si="372"/>
        <v>9791166067563</v>
      </c>
      <c r="AV2303" t="str">
        <f t="shared" si="373"/>
        <v>판타지 웹소설 &gt; 현대 판타지</v>
      </c>
    </row>
    <row r="2304" spans="1:48" x14ac:dyDescent="0.4">
      <c r="A2304">
        <v>2313011400</v>
      </c>
      <c r="B2304">
        <v>2313011703</v>
      </c>
      <c r="C2304" t="str">
        <f>T("최종 보스 15권 12화")</f>
        <v>최종 보스 15권 12화</v>
      </c>
      <c r="D2304" t="str">
        <f>T("304")</f>
        <v>304</v>
      </c>
      <c r="E2304" t="str">
        <f t="shared" si="370"/>
        <v>무장</v>
      </c>
      <c r="H2304" t="str">
        <f t="shared" si="374"/>
        <v>스토리위즈</v>
      </c>
      <c r="I2304" t="str">
        <f t="shared" si="371"/>
        <v>최종 보스 : 빛을 향해 달리는 그림자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>
        <v>140</v>
      </c>
      <c r="AT2304" t="str">
        <f t="shared" si="372"/>
        <v>9791166067563</v>
      </c>
      <c r="AV2304" t="str">
        <f t="shared" si="373"/>
        <v>판타지 웹소설 &gt; 현대 판타지</v>
      </c>
    </row>
    <row r="2305" spans="1:48" x14ac:dyDescent="0.4">
      <c r="A2305">
        <v>2313011400</v>
      </c>
      <c r="B2305">
        <v>2313011704</v>
      </c>
      <c r="C2305" t="str">
        <f>T("최종 보스 15권 13화")</f>
        <v>최종 보스 15권 13화</v>
      </c>
      <c r="D2305" t="str">
        <f>T("305")</f>
        <v>305</v>
      </c>
      <c r="E2305" t="str">
        <f t="shared" si="370"/>
        <v>무장</v>
      </c>
      <c r="H2305" t="str">
        <f t="shared" si="374"/>
        <v>스토리위즈</v>
      </c>
      <c r="I2305" t="str">
        <f t="shared" si="371"/>
        <v>최종 보스 : 빛을 향해 달리는 그림자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>
        <v>140</v>
      </c>
      <c r="AT2305" t="str">
        <f t="shared" si="372"/>
        <v>9791166067563</v>
      </c>
      <c r="AV2305" t="str">
        <f t="shared" si="373"/>
        <v>판타지 웹소설 &gt; 현대 판타지</v>
      </c>
    </row>
    <row r="2306" spans="1:48" x14ac:dyDescent="0.4">
      <c r="A2306">
        <v>2313011400</v>
      </c>
      <c r="B2306">
        <v>2313011705</v>
      </c>
      <c r="C2306" t="str">
        <f>T("최종 보스 15권 14화")</f>
        <v>최종 보스 15권 14화</v>
      </c>
      <c r="D2306" t="str">
        <f>T("306")</f>
        <v>306</v>
      </c>
      <c r="E2306" t="str">
        <f t="shared" si="370"/>
        <v>무장</v>
      </c>
      <c r="H2306" t="str">
        <f t="shared" si="374"/>
        <v>스토리위즈</v>
      </c>
      <c r="I2306" t="str">
        <f t="shared" si="371"/>
        <v>최종 보스 : 빛을 향해 달리는 그림자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200</v>
      </c>
      <c r="AL2306">
        <v>0</v>
      </c>
      <c r="AM2306">
        <v>0</v>
      </c>
      <c r="AN2306">
        <v>0</v>
      </c>
      <c r="AO2306">
        <v>0</v>
      </c>
      <c r="AP2306">
        <v>140</v>
      </c>
      <c r="AT2306" t="str">
        <f t="shared" si="372"/>
        <v>9791166067563</v>
      </c>
      <c r="AV2306" t="str">
        <f t="shared" si="373"/>
        <v>판타지 웹소설 &gt; 현대 판타지</v>
      </c>
    </row>
    <row r="2307" spans="1:48" x14ac:dyDescent="0.4">
      <c r="A2307">
        <v>2313011400</v>
      </c>
      <c r="B2307">
        <v>2313011706</v>
      </c>
      <c r="C2307" t="str">
        <f>T("최종 보스 15권 15화")</f>
        <v>최종 보스 15권 15화</v>
      </c>
      <c r="D2307" t="str">
        <f>T("307")</f>
        <v>307</v>
      </c>
      <c r="E2307" t="str">
        <f t="shared" si="370"/>
        <v>무장</v>
      </c>
      <c r="H2307" t="str">
        <f t="shared" si="374"/>
        <v>스토리위즈</v>
      </c>
      <c r="I2307" t="str">
        <f t="shared" si="371"/>
        <v>최종 보스 : 빛을 향해 달리는 그림자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200</v>
      </c>
      <c r="AL2307">
        <v>0</v>
      </c>
      <c r="AM2307">
        <v>0</v>
      </c>
      <c r="AN2307">
        <v>0</v>
      </c>
      <c r="AO2307">
        <v>0</v>
      </c>
      <c r="AP2307">
        <v>140</v>
      </c>
      <c r="AT2307" t="str">
        <f t="shared" si="372"/>
        <v>9791166067563</v>
      </c>
      <c r="AV2307" t="str">
        <f t="shared" si="373"/>
        <v>판타지 웹소설 &gt; 현대 판타지</v>
      </c>
    </row>
    <row r="2308" spans="1:48" x14ac:dyDescent="0.4">
      <c r="A2308">
        <v>2313011400</v>
      </c>
      <c r="B2308">
        <v>2313011707</v>
      </c>
      <c r="C2308" t="str">
        <f>T("최종 보스 15권 16화")</f>
        <v>최종 보스 15권 16화</v>
      </c>
      <c r="D2308" t="str">
        <f>T("308")</f>
        <v>308</v>
      </c>
      <c r="E2308" t="str">
        <f t="shared" si="370"/>
        <v>무장</v>
      </c>
      <c r="H2308" t="str">
        <f t="shared" si="374"/>
        <v>스토리위즈</v>
      </c>
      <c r="I2308" t="str">
        <f t="shared" si="371"/>
        <v>최종 보스 : 빛을 향해 달리는 그림자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200</v>
      </c>
      <c r="AL2308">
        <v>0</v>
      </c>
      <c r="AM2308">
        <v>0</v>
      </c>
      <c r="AN2308">
        <v>0</v>
      </c>
      <c r="AO2308">
        <v>0</v>
      </c>
      <c r="AP2308">
        <v>140</v>
      </c>
      <c r="AT2308" t="str">
        <f t="shared" si="372"/>
        <v>9791166067563</v>
      </c>
      <c r="AV2308" t="str">
        <f t="shared" si="373"/>
        <v>판타지 웹소설 &gt; 현대 판타지</v>
      </c>
    </row>
    <row r="2309" spans="1:48" x14ac:dyDescent="0.4">
      <c r="A2309">
        <v>2313011400</v>
      </c>
      <c r="B2309">
        <v>2313011708</v>
      </c>
      <c r="C2309" t="str">
        <f>T("최종 보스 15권 17화")</f>
        <v>최종 보스 15권 17화</v>
      </c>
      <c r="D2309" t="str">
        <f>T("309")</f>
        <v>309</v>
      </c>
      <c r="E2309" t="str">
        <f t="shared" si="370"/>
        <v>무장</v>
      </c>
      <c r="H2309" t="str">
        <f t="shared" si="374"/>
        <v>스토리위즈</v>
      </c>
      <c r="I2309" t="str">
        <f t="shared" si="371"/>
        <v>최종 보스 : 빛을 향해 달리는 그림자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>
        <v>140</v>
      </c>
      <c r="AT2309" t="str">
        <f t="shared" si="372"/>
        <v>9791166067563</v>
      </c>
      <c r="AV2309" t="str">
        <f t="shared" si="373"/>
        <v>판타지 웹소설 &gt; 현대 판타지</v>
      </c>
    </row>
    <row r="2310" spans="1:48" x14ac:dyDescent="0.4">
      <c r="A2310">
        <v>2313011400</v>
      </c>
      <c r="B2310">
        <v>2313011709</v>
      </c>
      <c r="C2310" t="str">
        <f>T("최종 보스 15권 18화")</f>
        <v>최종 보스 15권 18화</v>
      </c>
      <c r="D2310" t="str">
        <f>T("310")</f>
        <v>310</v>
      </c>
      <c r="E2310" t="str">
        <f t="shared" si="370"/>
        <v>무장</v>
      </c>
      <c r="H2310" t="str">
        <f t="shared" si="374"/>
        <v>스토리위즈</v>
      </c>
      <c r="I2310" t="str">
        <f t="shared" si="371"/>
        <v>최종 보스 : 빛을 향해 달리는 그림자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200</v>
      </c>
      <c r="AL2310">
        <v>0</v>
      </c>
      <c r="AM2310">
        <v>0</v>
      </c>
      <c r="AN2310">
        <v>0</v>
      </c>
      <c r="AO2310">
        <v>0</v>
      </c>
      <c r="AP2310">
        <v>140</v>
      </c>
      <c r="AT2310" t="str">
        <f t="shared" si="372"/>
        <v>9791166067563</v>
      </c>
      <c r="AV2310" t="str">
        <f t="shared" si="373"/>
        <v>판타지 웹소설 &gt; 현대 판타지</v>
      </c>
    </row>
    <row r="2311" spans="1:48" x14ac:dyDescent="0.4">
      <c r="A2311">
        <v>2313011400</v>
      </c>
      <c r="B2311">
        <v>2313011710</v>
      </c>
      <c r="C2311" t="str">
        <f>T("최종 보스 15권 19화")</f>
        <v>최종 보스 15권 19화</v>
      </c>
      <c r="D2311" t="str">
        <f>T("311")</f>
        <v>311</v>
      </c>
      <c r="E2311" t="str">
        <f t="shared" si="370"/>
        <v>무장</v>
      </c>
      <c r="H2311" t="str">
        <f t="shared" si="374"/>
        <v>스토리위즈</v>
      </c>
      <c r="I2311" t="str">
        <f t="shared" si="371"/>
        <v>최종 보스 : 빛을 향해 달리는 그림자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200</v>
      </c>
      <c r="AL2311">
        <v>0</v>
      </c>
      <c r="AM2311">
        <v>0</v>
      </c>
      <c r="AN2311">
        <v>0</v>
      </c>
      <c r="AO2311">
        <v>0</v>
      </c>
      <c r="AP2311">
        <v>140</v>
      </c>
      <c r="AT2311" t="str">
        <f t="shared" si="372"/>
        <v>9791166067563</v>
      </c>
      <c r="AV2311" t="str">
        <f t="shared" si="373"/>
        <v>판타지 웹소설 &gt; 현대 판타지</v>
      </c>
    </row>
    <row r="2312" spans="1:48" x14ac:dyDescent="0.4">
      <c r="A2312">
        <v>2313011400</v>
      </c>
      <c r="B2312">
        <v>2313011711</v>
      </c>
      <c r="C2312" t="str">
        <f>T("최종 보스 15권 20화")</f>
        <v>최종 보스 15권 20화</v>
      </c>
      <c r="D2312" t="str">
        <f>T("312")</f>
        <v>312</v>
      </c>
      <c r="E2312" t="str">
        <f t="shared" si="370"/>
        <v>무장</v>
      </c>
      <c r="H2312" t="str">
        <f t="shared" si="374"/>
        <v>스토리위즈</v>
      </c>
      <c r="I2312" t="str">
        <f t="shared" si="371"/>
        <v>최종 보스 : 빛을 향해 달리는 그림자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200</v>
      </c>
      <c r="AL2312">
        <v>0</v>
      </c>
      <c r="AM2312">
        <v>0</v>
      </c>
      <c r="AN2312">
        <v>0</v>
      </c>
      <c r="AO2312">
        <v>0</v>
      </c>
      <c r="AP2312">
        <v>140</v>
      </c>
      <c r="AT2312" t="str">
        <f t="shared" si="372"/>
        <v>9791166067563</v>
      </c>
      <c r="AV2312" t="str">
        <f t="shared" si="373"/>
        <v>판타지 웹소설 &gt; 현대 판타지</v>
      </c>
    </row>
    <row r="2313" spans="1:48" x14ac:dyDescent="0.4">
      <c r="A2313">
        <v>2313011400</v>
      </c>
      <c r="B2313">
        <v>2313011712</v>
      </c>
      <c r="C2313" t="str">
        <f>T("최종 보스 16권 1화")</f>
        <v>최종 보스 16권 1화</v>
      </c>
      <c r="D2313" t="str">
        <f>T("313")</f>
        <v>313</v>
      </c>
      <c r="E2313" t="str">
        <f t="shared" si="370"/>
        <v>무장</v>
      </c>
      <c r="H2313" t="str">
        <f t="shared" si="374"/>
        <v>스토리위즈</v>
      </c>
      <c r="I2313" t="str">
        <f t="shared" si="371"/>
        <v>최종 보스 : 빛을 향해 달리는 그림자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200</v>
      </c>
      <c r="AL2313">
        <v>0</v>
      </c>
      <c r="AM2313">
        <v>0</v>
      </c>
      <c r="AN2313">
        <v>0</v>
      </c>
      <c r="AO2313">
        <v>0</v>
      </c>
      <c r="AP2313">
        <v>140</v>
      </c>
      <c r="AT2313" t="str">
        <f t="shared" si="372"/>
        <v>9791166067563</v>
      </c>
      <c r="AV2313" t="str">
        <f t="shared" si="373"/>
        <v>판타지 웹소설 &gt; 현대 판타지</v>
      </c>
    </row>
    <row r="2314" spans="1:48" x14ac:dyDescent="0.4">
      <c r="A2314">
        <v>2313011400</v>
      </c>
      <c r="B2314">
        <v>2313011713</v>
      </c>
      <c r="C2314" t="str">
        <f>T("최종 보스 16권 2화")</f>
        <v>최종 보스 16권 2화</v>
      </c>
      <c r="D2314" t="str">
        <f>T("314")</f>
        <v>314</v>
      </c>
      <c r="E2314" t="str">
        <f t="shared" si="370"/>
        <v>무장</v>
      </c>
      <c r="H2314" t="str">
        <f t="shared" si="374"/>
        <v>스토리위즈</v>
      </c>
      <c r="I2314" t="str">
        <f t="shared" si="371"/>
        <v>최종 보스 : 빛을 향해 달리는 그림자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200</v>
      </c>
      <c r="AL2314">
        <v>0</v>
      </c>
      <c r="AM2314">
        <v>0</v>
      </c>
      <c r="AN2314">
        <v>0</v>
      </c>
      <c r="AO2314">
        <v>0</v>
      </c>
      <c r="AP2314">
        <v>140</v>
      </c>
      <c r="AT2314" t="str">
        <f t="shared" si="372"/>
        <v>9791166067563</v>
      </c>
      <c r="AV2314" t="str">
        <f t="shared" si="373"/>
        <v>판타지 웹소설 &gt; 현대 판타지</v>
      </c>
    </row>
    <row r="2315" spans="1:48" x14ac:dyDescent="0.4">
      <c r="A2315">
        <v>2313011400</v>
      </c>
      <c r="B2315">
        <v>2313011714</v>
      </c>
      <c r="C2315" t="str">
        <f>T("최종 보스 16권 3화")</f>
        <v>최종 보스 16권 3화</v>
      </c>
      <c r="D2315" t="str">
        <f>T("315")</f>
        <v>315</v>
      </c>
      <c r="E2315" t="str">
        <f t="shared" si="370"/>
        <v>무장</v>
      </c>
      <c r="H2315" t="str">
        <f t="shared" si="374"/>
        <v>스토리위즈</v>
      </c>
      <c r="I2315" t="str">
        <f t="shared" si="371"/>
        <v>최종 보스 : 빛을 향해 달리는 그림자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200</v>
      </c>
      <c r="AL2315">
        <v>0</v>
      </c>
      <c r="AM2315">
        <v>0</v>
      </c>
      <c r="AN2315">
        <v>0</v>
      </c>
      <c r="AO2315">
        <v>0</v>
      </c>
      <c r="AP2315">
        <v>140</v>
      </c>
      <c r="AT2315" t="str">
        <f t="shared" si="372"/>
        <v>9791166067563</v>
      </c>
      <c r="AV2315" t="str">
        <f t="shared" si="373"/>
        <v>판타지 웹소설 &gt; 현대 판타지</v>
      </c>
    </row>
    <row r="2316" spans="1:48" x14ac:dyDescent="0.4">
      <c r="A2316">
        <v>2313011400</v>
      </c>
      <c r="B2316">
        <v>2313011715</v>
      </c>
      <c r="C2316" t="str">
        <f>T("최종 보스 16권 4화")</f>
        <v>최종 보스 16권 4화</v>
      </c>
      <c r="D2316" t="str">
        <f>T("316")</f>
        <v>316</v>
      </c>
      <c r="E2316" t="str">
        <f t="shared" si="370"/>
        <v>무장</v>
      </c>
      <c r="H2316" t="str">
        <f t="shared" si="374"/>
        <v>스토리위즈</v>
      </c>
      <c r="I2316" t="str">
        <f t="shared" si="371"/>
        <v>최종 보스 : 빛을 향해 달리는 그림자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200</v>
      </c>
      <c r="AL2316">
        <v>0</v>
      </c>
      <c r="AM2316">
        <v>0</v>
      </c>
      <c r="AN2316">
        <v>0</v>
      </c>
      <c r="AO2316">
        <v>0</v>
      </c>
      <c r="AP2316">
        <v>140</v>
      </c>
      <c r="AT2316" t="str">
        <f t="shared" si="372"/>
        <v>9791166067563</v>
      </c>
      <c r="AV2316" t="str">
        <f t="shared" si="373"/>
        <v>판타지 웹소설 &gt; 현대 판타지</v>
      </c>
    </row>
    <row r="2317" spans="1:48" x14ac:dyDescent="0.4">
      <c r="A2317">
        <v>2313011400</v>
      </c>
      <c r="B2317">
        <v>2313011716</v>
      </c>
      <c r="C2317" t="str">
        <f>T("최종 보스 16권 5화")</f>
        <v>최종 보스 16권 5화</v>
      </c>
      <c r="D2317" t="str">
        <f>T("317")</f>
        <v>317</v>
      </c>
      <c r="E2317" t="str">
        <f t="shared" si="370"/>
        <v>무장</v>
      </c>
      <c r="H2317" t="str">
        <f t="shared" si="374"/>
        <v>스토리위즈</v>
      </c>
      <c r="I2317" t="str">
        <f t="shared" si="371"/>
        <v>최종 보스 : 빛을 향해 달리는 그림자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200</v>
      </c>
      <c r="AL2317">
        <v>0</v>
      </c>
      <c r="AM2317">
        <v>0</v>
      </c>
      <c r="AN2317">
        <v>0</v>
      </c>
      <c r="AO2317">
        <v>0</v>
      </c>
      <c r="AP2317">
        <v>140</v>
      </c>
      <c r="AT2317" t="str">
        <f t="shared" si="372"/>
        <v>9791166067563</v>
      </c>
      <c r="AV2317" t="str">
        <f t="shared" si="373"/>
        <v>판타지 웹소설 &gt; 현대 판타지</v>
      </c>
    </row>
    <row r="2318" spans="1:48" x14ac:dyDescent="0.4">
      <c r="A2318">
        <v>2313011400</v>
      </c>
      <c r="B2318">
        <v>2313011717</v>
      </c>
      <c r="C2318" t="str">
        <f>T("최종 보스 16권 6화")</f>
        <v>최종 보스 16권 6화</v>
      </c>
      <c r="D2318" t="str">
        <f>T("318")</f>
        <v>318</v>
      </c>
      <c r="E2318" t="str">
        <f t="shared" si="370"/>
        <v>무장</v>
      </c>
      <c r="H2318" t="str">
        <f t="shared" si="374"/>
        <v>스토리위즈</v>
      </c>
      <c r="I2318" t="str">
        <f t="shared" si="371"/>
        <v>최종 보스 : 빛을 향해 달리는 그림자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200</v>
      </c>
      <c r="AL2318">
        <v>0</v>
      </c>
      <c r="AM2318">
        <v>0</v>
      </c>
      <c r="AN2318">
        <v>0</v>
      </c>
      <c r="AO2318">
        <v>0</v>
      </c>
      <c r="AP2318">
        <v>140</v>
      </c>
      <c r="AT2318" t="str">
        <f t="shared" si="372"/>
        <v>9791166067563</v>
      </c>
      <c r="AV2318" t="str">
        <f t="shared" si="373"/>
        <v>판타지 웹소설 &gt; 현대 판타지</v>
      </c>
    </row>
    <row r="2319" spans="1:48" x14ac:dyDescent="0.4">
      <c r="A2319">
        <v>2313011400</v>
      </c>
      <c r="B2319">
        <v>2313011718</v>
      </c>
      <c r="C2319" t="str">
        <f>T("최종 보스 16권 7화")</f>
        <v>최종 보스 16권 7화</v>
      </c>
      <c r="D2319" t="str">
        <f>T("319")</f>
        <v>319</v>
      </c>
      <c r="E2319" t="str">
        <f t="shared" si="370"/>
        <v>무장</v>
      </c>
      <c r="H2319" t="str">
        <f t="shared" si="374"/>
        <v>스토리위즈</v>
      </c>
      <c r="I2319" t="str">
        <f t="shared" si="371"/>
        <v>최종 보스 : 빛을 향해 달리는 그림자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200</v>
      </c>
      <c r="AL2319">
        <v>0</v>
      </c>
      <c r="AM2319">
        <v>0</v>
      </c>
      <c r="AN2319">
        <v>0</v>
      </c>
      <c r="AO2319">
        <v>0</v>
      </c>
      <c r="AP2319">
        <v>140</v>
      </c>
      <c r="AT2319" t="str">
        <f t="shared" si="372"/>
        <v>9791166067563</v>
      </c>
      <c r="AV2319" t="str">
        <f t="shared" si="373"/>
        <v>판타지 웹소설 &gt; 현대 판타지</v>
      </c>
    </row>
    <row r="2320" spans="1:48" x14ac:dyDescent="0.4">
      <c r="A2320">
        <v>2313011400</v>
      </c>
      <c r="B2320">
        <v>2313011719</v>
      </c>
      <c r="C2320" t="str">
        <f>T("최종 보스 16권 8화")</f>
        <v>최종 보스 16권 8화</v>
      </c>
      <c r="D2320" t="str">
        <f>T("320")</f>
        <v>320</v>
      </c>
      <c r="E2320" t="str">
        <f t="shared" si="370"/>
        <v>무장</v>
      </c>
      <c r="H2320" t="str">
        <f t="shared" si="374"/>
        <v>스토리위즈</v>
      </c>
      <c r="I2320" t="str">
        <f t="shared" si="371"/>
        <v>최종 보스 : 빛을 향해 달리는 그림자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200</v>
      </c>
      <c r="AL2320">
        <v>0</v>
      </c>
      <c r="AM2320">
        <v>0</v>
      </c>
      <c r="AN2320">
        <v>0</v>
      </c>
      <c r="AO2320">
        <v>0</v>
      </c>
      <c r="AP2320">
        <v>140</v>
      </c>
      <c r="AT2320" t="str">
        <f t="shared" si="372"/>
        <v>9791166067563</v>
      </c>
      <c r="AV2320" t="str">
        <f t="shared" si="373"/>
        <v>판타지 웹소설 &gt; 현대 판타지</v>
      </c>
    </row>
    <row r="2321" spans="1:48" x14ac:dyDescent="0.4">
      <c r="A2321">
        <v>2313011400</v>
      </c>
      <c r="B2321">
        <v>2313011720</v>
      </c>
      <c r="C2321" t="str">
        <f>T("최종 보스 16권 9화")</f>
        <v>최종 보스 16권 9화</v>
      </c>
      <c r="D2321" t="str">
        <f>T("321")</f>
        <v>321</v>
      </c>
      <c r="E2321" t="str">
        <f t="shared" si="370"/>
        <v>무장</v>
      </c>
      <c r="H2321" t="str">
        <f t="shared" si="374"/>
        <v>스토리위즈</v>
      </c>
      <c r="I2321" t="str">
        <f t="shared" si="371"/>
        <v>최종 보스 : 빛을 향해 달리는 그림자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200</v>
      </c>
      <c r="AL2321">
        <v>0</v>
      </c>
      <c r="AM2321">
        <v>0</v>
      </c>
      <c r="AN2321">
        <v>0</v>
      </c>
      <c r="AO2321">
        <v>0</v>
      </c>
      <c r="AP2321">
        <v>140</v>
      </c>
      <c r="AT2321" t="str">
        <f t="shared" si="372"/>
        <v>9791166067563</v>
      </c>
      <c r="AV2321" t="str">
        <f t="shared" si="373"/>
        <v>판타지 웹소설 &gt; 현대 판타지</v>
      </c>
    </row>
    <row r="2322" spans="1:48" x14ac:dyDescent="0.4">
      <c r="A2322">
        <v>2313011400</v>
      </c>
      <c r="B2322">
        <v>2313011721</v>
      </c>
      <c r="C2322" t="str">
        <f>T("최종 보스 16권 10화")</f>
        <v>최종 보스 16권 10화</v>
      </c>
      <c r="D2322" t="str">
        <f>T("322")</f>
        <v>322</v>
      </c>
      <c r="E2322" t="str">
        <f t="shared" si="370"/>
        <v>무장</v>
      </c>
      <c r="H2322" t="str">
        <f t="shared" si="374"/>
        <v>스토리위즈</v>
      </c>
      <c r="I2322" t="str">
        <f t="shared" si="371"/>
        <v>최종 보스 : 빛을 향해 달리는 그림자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200</v>
      </c>
      <c r="AL2322">
        <v>0</v>
      </c>
      <c r="AM2322">
        <v>0</v>
      </c>
      <c r="AN2322">
        <v>0</v>
      </c>
      <c r="AO2322">
        <v>0</v>
      </c>
      <c r="AP2322">
        <v>140</v>
      </c>
      <c r="AT2322" t="str">
        <f t="shared" si="372"/>
        <v>9791166067563</v>
      </c>
      <c r="AV2322" t="str">
        <f t="shared" si="373"/>
        <v>판타지 웹소설 &gt; 현대 판타지</v>
      </c>
    </row>
    <row r="2323" spans="1:48" x14ac:dyDescent="0.4">
      <c r="A2323">
        <v>2313011400</v>
      </c>
      <c r="B2323">
        <v>2313011722</v>
      </c>
      <c r="C2323" t="str">
        <f>T("최종 보스 16권 11화")</f>
        <v>최종 보스 16권 11화</v>
      </c>
      <c r="D2323" t="str">
        <f>T("323")</f>
        <v>323</v>
      </c>
      <c r="E2323" t="str">
        <f t="shared" si="370"/>
        <v>무장</v>
      </c>
      <c r="H2323" t="str">
        <f t="shared" si="374"/>
        <v>스토리위즈</v>
      </c>
      <c r="I2323" t="str">
        <f t="shared" si="371"/>
        <v>최종 보스 : 빛을 향해 달리는 그림자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200</v>
      </c>
      <c r="AL2323">
        <v>0</v>
      </c>
      <c r="AM2323">
        <v>0</v>
      </c>
      <c r="AN2323">
        <v>0</v>
      </c>
      <c r="AO2323">
        <v>0</v>
      </c>
      <c r="AP2323">
        <v>140</v>
      </c>
      <c r="AT2323" t="str">
        <f t="shared" si="372"/>
        <v>9791166067563</v>
      </c>
      <c r="AV2323" t="str">
        <f t="shared" si="373"/>
        <v>판타지 웹소설 &gt; 현대 판타지</v>
      </c>
    </row>
    <row r="2324" spans="1:48" x14ac:dyDescent="0.4">
      <c r="A2324">
        <v>2313011400</v>
      </c>
      <c r="B2324">
        <v>2313011723</v>
      </c>
      <c r="C2324" t="str">
        <f>T("최종 보스 16권 12화")</f>
        <v>최종 보스 16권 12화</v>
      </c>
      <c r="D2324" t="str">
        <f>T("324")</f>
        <v>324</v>
      </c>
      <c r="E2324" t="str">
        <f t="shared" si="370"/>
        <v>무장</v>
      </c>
      <c r="H2324" t="str">
        <f t="shared" si="374"/>
        <v>스토리위즈</v>
      </c>
      <c r="I2324" t="str">
        <f t="shared" si="371"/>
        <v>최종 보스 : 빛을 향해 달리는 그림자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200</v>
      </c>
      <c r="AL2324">
        <v>0</v>
      </c>
      <c r="AM2324">
        <v>0</v>
      </c>
      <c r="AN2324">
        <v>0</v>
      </c>
      <c r="AO2324">
        <v>0</v>
      </c>
      <c r="AP2324">
        <v>140</v>
      </c>
      <c r="AT2324" t="str">
        <f t="shared" si="372"/>
        <v>9791166067563</v>
      </c>
      <c r="AV2324" t="str">
        <f t="shared" si="373"/>
        <v>판타지 웹소설 &gt; 현대 판타지</v>
      </c>
    </row>
    <row r="2325" spans="1:48" x14ac:dyDescent="0.4">
      <c r="A2325">
        <v>2313011400</v>
      </c>
      <c r="B2325">
        <v>2313011724</v>
      </c>
      <c r="C2325" t="str">
        <f>T("최종 보스 16권 13화")</f>
        <v>최종 보스 16권 13화</v>
      </c>
      <c r="D2325" t="str">
        <f>T("325")</f>
        <v>325</v>
      </c>
      <c r="E2325" t="str">
        <f t="shared" si="370"/>
        <v>무장</v>
      </c>
      <c r="H2325" t="str">
        <f t="shared" si="374"/>
        <v>스토리위즈</v>
      </c>
      <c r="I2325" t="str">
        <f t="shared" si="371"/>
        <v>최종 보스 : 빛을 향해 달리는 그림자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200</v>
      </c>
      <c r="AL2325">
        <v>0</v>
      </c>
      <c r="AM2325">
        <v>0</v>
      </c>
      <c r="AN2325">
        <v>0</v>
      </c>
      <c r="AO2325">
        <v>0</v>
      </c>
      <c r="AP2325">
        <v>140</v>
      </c>
      <c r="AT2325" t="str">
        <f t="shared" si="372"/>
        <v>9791166067563</v>
      </c>
      <c r="AV2325" t="str">
        <f t="shared" si="373"/>
        <v>판타지 웹소설 &gt; 현대 판타지</v>
      </c>
    </row>
    <row r="2326" spans="1:48" x14ac:dyDescent="0.4">
      <c r="A2326">
        <v>2313011400</v>
      </c>
      <c r="B2326">
        <v>2313011725</v>
      </c>
      <c r="C2326" t="str">
        <f>T("최종 보스 16권 14화")</f>
        <v>최종 보스 16권 14화</v>
      </c>
      <c r="D2326" t="str">
        <f>T("326")</f>
        <v>326</v>
      </c>
      <c r="E2326" t="str">
        <f t="shared" si="370"/>
        <v>무장</v>
      </c>
      <c r="H2326" t="str">
        <f t="shared" si="374"/>
        <v>스토리위즈</v>
      </c>
      <c r="I2326" t="str">
        <f t="shared" si="371"/>
        <v>최종 보스 : 빛을 향해 달리는 그림자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0</v>
      </c>
      <c r="AP2326">
        <v>140</v>
      </c>
      <c r="AT2326" t="str">
        <f t="shared" si="372"/>
        <v>9791166067563</v>
      </c>
      <c r="AV2326" t="str">
        <f t="shared" si="373"/>
        <v>판타지 웹소설 &gt; 현대 판타지</v>
      </c>
    </row>
    <row r="2327" spans="1:48" x14ac:dyDescent="0.4">
      <c r="A2327">
        <v>2313011400</v>
      </c>
      <c r="B2327">
        <v>2313011726</v>
      </c>
      <c r="C2327" t="str">
        <f>T("최종 보스 16권 15화")</f>
        <v>최종 보스 16권 15화</v>
      </c>
      <c r="D2327" t="str">
        <f>T("327")</f>
        <v>327</v>
      </c>
      <c r="E2327" t="str">
        <f t="shared" si="370"/>
        <v>무장</v>
      </c>
      <c r="H2327" t="str">
        <f t="shared" si="374"/>
        <v>스토리위즈</v>
      </c>
      <c r="I2327" t="str">
        <f t="shared" si="371"/>
        <v>최종 보스 : 빛을 향해 달리는 그림자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200</v>
      </c>
      <c r="AL2327">
        <v>0</v>
      </c>
      <c r="AM2327">
        <v>0</v>
      </c>
      <c r="AN2327">
        <v>0</v>
      </c>
      <c r="AO2327">
        <v>0</v>
      </c>
      <c r="AP2327">
        <v>140</v>
      </c>
      <c r="AT2327" t="str">
        <f t="shared" si="372"/>
        <v>9791166067563</v>
      </c>
      <c r="AV2327" t="str">
        <f t="shared" si="373"/>
        <v>판타지 웹소설 &gt; 현대 판타지</v>
      </c>
    </row>
    <row r="2328" spans="1:48" x14ac:dyDescent="0.4">
      <c r="A2328">
        <v>2313011400</v>
      </c>
      <c r="B2328">
        <v>2313011727</v>
      </c>
      <c r="C2328" t="str">
        <f>T("최종 보스 16권 16화")</f>
        <v>최종 보스 16권 16화</v>
      </c>
      <c r="D2328" t="str">
        <f>T("328")</f>
        <v>328</v>
      </c>
      <c r="E2328" t="str">
        <f t="shared" si="370"/>
        <v>무장</v>
      </c>
      <c r="H2328" t="str">
        <f t="shared" si="374"/>
        <v>스토리위즈</v>
      </c>
      <c r="I2328" t="str">
        <f t="shared" si="371"/>
        <v>최종 보스 : 빛을 향해 달리는 그림자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200</v>
      </c>
      <c r="AL2328">
        <v>0</v>
      </c>
      <c r="AM2328">
        <v>0</v>
      </c>
      <c r="AN2328">
        <v>0</v>
      </c>
      <c r="AO2328">
        <v>0</v>
      </c>
      <c r="AP2328">
        <v>140</v>
      </c>
      <c r="AT2328" t="str">
        <f t="shared" si="372"/>
        <v>9791166067563</v>
      </c>
      <c r="AV2328" t="str">
        <f t="shared" si="373"/>
        <v>판타지 웹소설 &gt; 현대 판타지</v>
      </c>
    </row>
    <row r="2329" spans="1:48" x14ac:dyDescent="0.4">
      <c r="A2329">
        <v>2313011400</v>
      </c>
      <c r="B2329">
        <v>2313011728</v>
      </c>
      <c r="C2329" t="str">
        <f>T("최종 보스 16권 17화")</f>
        <v>최종 보스 16권 17화</v>
      </c>
      <c r="D2329" t="str">
        <f>T("329")</f>
        <v>329</v>
      </c>
      <c r="E2329" t="str">
        <f t="shared" si="370"/>
        <v>무장</v>
      </c>
      <c r="H2329" t="str">
        <f t="shared" si="374"/>
        <v>스토리위즈</v>
      </c>
      <c r="I2329" t="str">
        <f t="shared" si="371"/>
        <v>최종 보스 : 빛을 향해 달리는 그림자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200</v>
      </c>
      <c r="AL2329">
        <v>0</v>
      </c>
      <c r="AM2329">
        <v>0</v>
      </c>
      <c r="AN2329">
        <v>0</v>
      </c>
      <c r="AO2329">
        <v>0</v>
      </c>
      <c r="AP2329">
        <v>140</v>
      </c>
      <c r="AT2329" t="str">
        <f t="shared" si="372"/>
        <v>9791166067563</v>
      </c>
      <c r="AV2329" t="str">
        <f t="shared" si="373"/>
        <v>판타지 웹소설 &gt; 현대 판타지</v>
      </c>
    </row>
    <row r="2330" spans="1:48" x14ac:dyDescent="0.4">
      <c r="A2330">
        <v>2313011400</v>
      </c>
      <c r="B2330">
        <v>2313011729</v>
      </c>
      <c r="C2330" t="str">
        <f>T("최종 보스 16권 18화")</f>
        <v>최종 보스 16권 18화</v>
      </c>
      <c r="D2330" t="str">
        <f>T("330")</f>
        <v>330</v>
      </c>
      <c r="E2330" t="str">
        <f t="shared" si="370"/>
        <v>무장</v>
      </c>
      <c r="H2330" t="str">
        <f t="shared" si="374"/>
        <v>스토리위즈</v>
      </c>
      <c r="I2330" t="str">
        <f t="shared" si="371"/>
        <v>최종 보스 : 빛을 향해 달리는 그림자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200</v>
      </c>
      <c r="AL2330">
        <v>0</v>
      </c>
      <c r="AM2330">
        <v>0</v>
      </c>
      <c r="AN2330">
        <v>0</v>
      </c>
      <c r="AO2330">
        <v>0</v>
      </c>
      <c r="AP2330">
        <v>140</v>
      </c>
      <c r="AT2330" t="str">
        <f t="shared" si="372"/>
        <v>9791166067563</v>
      </c>
      <c r="AV2330" t="str">
        <f t="shared" si="373"/>
        <v>판타지 웹소설 &gt; 현대 판타지</v>
      </c>
    </row>
    <row r="2331" spans="1:48" x14ac:dyDescent="0.4">
      <c r="A2331">
        <v>2313011400</v>
      </c>
      <c r="B2331">
        <v>2313011730</v>
      </c>
      <c r="C2331" t="str">
        <f>T("최종 보스 16권 19화")</f>
        <v>최종 보스 16권 19화</v>
      </c>
      <c r="D2331" t="str">
        <f>T("331")</f>
        <v>331</v>
      </c>
      <c r="E2331" t="str">
        <f t="shared" si="370"/>
        <v>무장</v>
      </c>
      <c r="H2331" t="str">
        <f t="shared" si="374"/>
        <v>스토리위즈</v>
      </c>
      <c r="I2331" t="str">
        <f t="shared" si="371"/>
        <v>최종 보스 : 빛을 향해 달리는 그림자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200</v>
      </c>
      <c r="AL2331">
        <v>0</v>
      </c>
      <c r="AM2331">
        <v>0</v>
      </c>
      <c r="AN2331">
        <v>0</v>
      </c>
      <c r="AO2331">
        <v>0</v>
      </c>
      <c r="AP2331">
        <v>140</v>
      </c>
      <c r="AT2331" t="str">
        <f t="shared" si="372"/>
        <v>9791166067563</v>
      </c>
      <c r="AV2331" t="str">
        <f t="shared" si="373"/>
        <v>판타지 웹소설 &gt; 현대 판타지</v>
      </c>
    </row>
    <row r="2332" spans="1:48" x14ac:dyDescent="0.4">
      <c r="A2332">
        <v>2313011400</v>
      </c>
      <c r="B2332">
        <v>2313011731</v>
      </c>
      <c r="C2332" t="str">
        <f>T("최종 보스 16권 20화")</f>
        <v>최종 보스 16권 20화</v>
      </c>
      <c r="D2332" t="str">
        <f>T("332")</f>
        <v>332</v>
      </c>
      <c r="E2332" t="str">
        <f t="shared" si="370"/>
        <v>무장</v>
      </c>
      <c r="H2332" t="str">
        <f t="shared" si="374"/>
        <v>스토리위즈</v>
      </c>
      <c r="I2332" t="str">
        <f t="shared" si="371"/>
        <v>최종 보스 : 빛을 향해 달리는 그림자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200</v>
      </c>
      <c r="AL2332">
        <v>0</v>
      </c>
      <c r="AM2332">
        <v>0</v>
      </c>
      <c r="AN2332">
        <v>0</v>
      </c>
      <c r="AO2332">
        <v>0</v>
      </c>
      <c r="AP2332">
        <v>140</v>
      </c>
      <c r="AT2332" t="str">
        <f t="shared" si="372"/>
        <v>9791166067563</v>
      </c>
      <c r="AV2332" t="str">
        <f t="shared" si="373"/>
        <v>판타지 웹소설 &gt; 현대 판타지</v>
      </c>
    </row>
    <row r="2333" spans="1:48" x14ac:dyDescent="0.4">
      <c r="A2333">
        <v>2313012849</v>
      </c>
      <c r="B2333">
        <v>2313012874</v>
      </c>
      <c r="C2333" t="str">
        <f>T("디버프 마스터 26화")</f>
        <v>디버프 마스터 26화</v>
      </c>
      <c r="D2333" t="str">
        <f>T("26")</f>
        <v>26</v>
      </c>
      <c r="E2333" t="str">
        <f t="shared" ref="E2333:E2396" si="375">T("담화공")</f>
        <v>담화공</v>
      </c>
      <c r="H2333" t="str">
        <f t="shared" si="374"/>
        <v>스토리위즈</v>
      </c>
      <c r="I2333" t="str">
        <f t="shared" ref="I2333:I2396" si="376">T("디버프 마스터")</f>
        <v>디버프 마스터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231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233</v>
      </c>
      <c r="AI2333">
        <v>0</v>
      </c>
      <c r="AJ2333">
        <v>0</v>
      </c>
      <c r="AK2333">
        <v>200</v>
      </c>
      <c r="AL2333">
        <v>0</v>
      </c>
      <c r="AM2333">
        <v>0</v>
      </c>
      <c r="AN2333">
        <v>0</v>
      </c>
      <c r="AO2333">
        <v>0</v>
      </c>
      <c r="AP2333">
        <v>140</v>
      </c>
      <c r="AT2333" t="str">
        <f t="shared" ref="AT2333:AT2396" si="377">T("9791137602663")</f>
        <v>9791137602663</v>
      </c>
      <c r="AV2333" t="str">
        <f t="shared" ref="AV2333:AV2396" si="378">T("판타지 웹소설 &gt; 퓨전 판타지")</f>
        <v>판타지 웹소설 &gt; 퓨전 판타지</v>
      </c>
    </row>
    <row r="2334" spans="1:48" x14ac:dyDescent="0.4">
      <c r="A2334">
        <v>2313012849</v>
      </c>
      <c r="B2334">
        <v>2313013112</v>
      </c>
      <c r="C2334" t="str">
        <f>T("디버프 마스터 264화")</f>
        <v>디버프 마스터 264화</v>
      </c>
      <c r="D2334" t="str">
        <f>T("264")</f>
        <v>264</v>
      </c>
      <c r="E2334" t="str">
        <f t="shared" si="375"/>
        <v>담화공</v>
      </c>
      <c r="H2334" t="str">
        <f t="shared" si="374"/>
        <v>스토리위즈</v>
      </c>
      <c r="I2334" t="str">
        <f t="shared" si="376"/>
        <v>디버프 마스터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200</v>
      </c>
      <c r="AL2334">
        <v>0</v>
      </c>
      <c r="AM2334">
        <v>0</v>
      </c>
      <c r="AN2334">
        <v>0</v>
      </c>
      <c r="AO2334">
        <v>0</v>
      </c>
      <c r="AP2334">
        <v>140</v>
      </c>
      <c r="AT2334" t="str">
        <f t="shared" si="377"/>
        <v>9791137602663</v>
      </c>
      <c r="AV2334" t="str">
        <f t="shared" si="378"/>
        <v>판타지 웹소설 &gt; 퓨전 판타지</v>
      </c>
    </row>
    <row r="2335" spans="1:48" x14ac:dyDescent="0.4">
      <c r="A2335">
        <v>2313012849</v>
      </c>
      <c r="B2335">
        <v>2313013178</v>
      </c>
      <c r="C2335" t="str">
        <f>T("디버프 마스터 330화")</f>
        <v>디버프 마스터 330화</v>
      </c>
      <c r="D2335" t="str">
        <f>T("330")</f>
        <v>330</v>
      </c>
      <c r="E2335" t="str">
        <f t="shared" si="375"/>
        <v>담화공</v>
      </c>
      <c r="H2335" t="str">
        <f t="shared" si="374"/>
        <v>스토리위즈</v>
      </c>
      <c r="I2335" t="str">
        <f t="shared" si="376"/>
        <v>디버프 마스터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200</v>
      </c>
      <c r="AL2335">
        <v>0</v>
      </c>
      <c r="AM2335">
        <v>0</v>
      </c>
      <c r="AN2335">
        <v>0</v>
      </c>
      <c r="AO2335">
        <v>0</v>
      </c>
      <c r="AP2335">
        <v>140</v>
      </c>
      <c r="AT2335" t="str">
        <f t="shared" si="377"/>
        <v>9791137602663</v>
      </c>
      <c r="AV2335" t="str">
        <f t="shared" si="378"/>
        <v>판타지 웹소설 &gt; 퓨전 판타지</v>
      </c>
    </row>
    <row r="2336" spans="1:48" x14ac:dyDescent="0.4">
      <c r="A2336">
        <v>2313012849</v>
      </c>
      <c r="B2336">
        <v>2313013179</v>
      </c>
      <c r="C2336" t="str">
        <f>T("디버프 마스터 331화")</f>
        <v>디버프 마스터 331화</v>
      </c>
      <c r="D2336" t="str">
        <f>T("331")</f>
        <v>331</v>
      </c>
      <c r="E2336" t="str">
        <f t="shared" si="375"/>
        <v>담화공</v>
      </c>
      <c r="H2336" t="str">
        <f t="shared" si="374"/>
        <v>스토리위즈</v>
      </c>
      <c r="I2336" t="str">
        <f t="shared" si="376"/>
        <v>디버프 마스터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200</v>
      </c>
      <c r="AL2336">
        <v>0</v>
      </c>
      <c r="AM2336">
        <v>0</v>
      </c>
      <c r="AN2336">
        <v>0</v>
      </c>
      <c r="AO2336">
        <v>0</v>
      </c>
      <c r="AP2336">
        <v>140</v>
      </c>
      <c r="AT2336" t="str">
        <f t="shared" si="377"/>
        <v>9791137602663</v>
      </c>
      <c r="AV2336" t="str">
        <f t="shared" si="378"/>
        <v>판타지 웹소설 &gt; 퓨전 판타지</v>
      </c>
    </row>
    <row r="2337" spans="1:48" x14ac:dyDescent="0.4">
      <c r="A2337">
        <v>2313012849</v>
      </c>
      <c r="B2337">
        <v>2313013180</v>
      </c>
      <c r="C2337" t="str">
        <f>T("디버프 마스터 332화")</f>
        <v>디버프 마스터 332화</v>
      </c>
      <c r="D2337" t="str">
        <f>T("332")</f>
        <v>332</v>
      </c>
      <c r="E2337" t="str">
        <f t="shared" si="375"/>
        <v>담화공</v>
      </c>
      <c r="H2337" t="str">
        <f t="shared" si="374"/>
        <v>스토리위즈</v>
      </c>
      <c r="I2337" t="str">
        <f t="shared" si="376"/>
        <v>디버프 마스터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200</v>
      </c>
      <c r="AL2337">
        <v>0</v>
      </c>
      <c r="AM2337">
        <v>0</v>
      </c>
      <c r="AN2337">
        <v>0</v>
      </c>
      <c r="AO2337">
        <v>0</v>
      </c>
      <c r="AP2337">
        <v>140</v>
      </c>
      <c r="AT2337" t="str">
        <f t="shared" si="377"/>
        <v>9791137602663</v>
      </c>
      <c r="AV2337" t="str">
        <f t="shared" si="378"/>
        <v>판타지 웹소설 &gt; 퓨전 판타지</v>
      </c>
    </row>
    <row r="2338" spans="1:48" x14ac:dyDescent="0.4">
      <c r="A2338">
        <v>2313012849</v>
      </c>
      <c r="B2338">
        <v>2313013181</v>
      </c>
      <c r="C2338" t="str">
        <f>T("디버프 마스터 333화")</f>
        <v>디버프 마스터 333화</v>
      </c>
      <c r="D2338" t="str">
        <f>T("333")</f>
        <v>333</v>
      </c>
      <c r="E2338" t="str">
        <f t="shared" si="375"/>
        <v>담화공</v>
      </c>
      <c r="H2338" t="str">
        <f t="shared" si="374"/>
        <v>스토리위즈</v>
      </c>
      <c r="I2338" t="str">
        <f t="shared" si="376"/>
        <v>디버프 마스터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200</v>
      </c>
      <c r="AL2338">
        <v>0</v>
      </c>
      <c r="AM2338">
        <v>0</v>
      </c>
      <c r="AN2338">
        <v>0</v>
      </c>
      <c r="AO2338">
        <v>0</v>
      </c>
      <c r="AP2338">
        <v>140</v>
      </c>
      <c r="AT2338" t="str">
        <f t="shared" si="377"/>
        <v>9791137602663</v>
      </c>
      <c r="AV2338" t="str">
        <f t="shared" si="378"/>
        <v>판타지 웹소설 &gt; 퓨전 판타지</v>
      </c>
    </row>
    <row r="2339" spans="1:48" x14ac:dyDescent="0.4">
      <c r="A2339">
        <v>2313012849</v>
      </c>
      <c r="B2339">
        <v>2313013182</v>
      </c>
      <c r="C2339" t="str">
        <f>T("디버프 마스터 334화")</f>
        <v>디버프 마스터 334화</v>
      </c>
      <c r="D2339" t="str">
        <f>T("334")</f>
        <v>334</v>
      </c>
      <c r="E2339" t="str">
        <f t="shared" si="375"/>
        <v>담화공</v>
      </c>
      <c r="H2339" t="str">
        <f t="shared" ref="H2339:H2402" si="379">T("스토리위즈")</f>
        <v>스토리위즈</v>
      </c>
      <c r="I2339" t="str">
        <f t="shared" si="376"/>
        <v>디버프 마스터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200</v>
      </c>
      <c r="AL2339">
        <v>0</v>
      </c>
      <c r="AM2339">
        <v>0</v>
      </c>
      <c r="AN2339">
        <v>0</v>
      </c>
      <c r="AO2339">
        <v>0</v>
      </c>
      <c r="AP2339">
        <v>140</v>
      </c>
      <c r="AT2339" t="str">
        <f t="shared" si="377"/>
        <v>9791137602663</v>
      </c>
      <c r="AV2339" t="str">
        <f t="shared" si="378"/>
        <v>판타지 웹소설 &gt; 퓨전 판타지</v>
      </c>
    </row>
    <row r="2340" spans="1:48" x14ac:dyDescent="0.4">
      <c r="A2340">
        <v>2313012849</v>
      </c>
      <c r="B2340">
        <v>2313013183</v>
      </c>
      <c r="C2340" t="str">
        <f>T("디버프 마스터 335화")</f>
        <v>디버프 마스터 335화</v>
      </c>
      <c r="D2340" t="str">
        <f>T("335")</f>
        <v>335</v>
      </c>
      <c r="E2340" t="str">
        <f t="shared" si="375"/>
        <v>담화공</v>
      </c>
      <c r="H2340" t="str">
        <f t="shared" si="379"/>
        <v>스토리위즈</v>
      </c>
      <c r="I2340" t="str">
        <f t="shared" si="376"/>
        <v>디버프 마스터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200</v>
      </c>
      <c r="AL2340">
        <v>0</v>
      </c>
      <c r="AM2340">
        <v>0</v>
      </c>
      <c r="AN2340">
        <v>0</v>
      </c>
      <c r="AO2340">
        <v>0</v>
      </c>
      <c r="AP2340">
        <v>140</v>
      </c>
      <c r="AT2340" t="str">
        <f t="shared" si="377"/>
        <v>9791137602663</v>
      </c>
      <c r="AV2340" t="str">
        <f t="shared" si="378"/>
        <v>판타지 웹소설 &gt; 퓨전 판타지</v>
      </c>
    </row>
    <row r="2341" spans="1:48" x14ac:dyDescent="0.4">
      <c r="A2341">
        <v>2313012849</v>
      </c>
      <c r="B2341">
        <v>2313013184</v>
      </c>
      <c r="C2341" t="str">
        <f>T("디버프 마스터 336화")</f>
        <v>디버프 마스터 336화</v>
      </c>
      <c r="D2341" t="str">
        <f>T("336")</f>
        <v>336</v>
      </c>
      <c r="E2341" t="str">
        <f t="shared" si="375"/>
        <v>담화공</v>
      </c>
      <c r="H2341" t="str">
        <f t="shared" si="379"/>
        <v>스토리위즈</v>
      </c>
      <c r="I2341" t="str">
        <f t="shared" si="376"/>
        <v>디버프 마스터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200</v>
      </c>
      <c r="AL2341">
        <v>0</v>
      </c>
      <c r="AM2341">
        <v>0</v>
      </c>
      <c r="AN2341">
        <v>0</v>
      </c>
      <c r="AO2341">
        <v>0</v>
      </c>
      <c r="AP2341">
        <v>140</v>
      </c>
      <c r="AT2341" t="str">
        <f t="shared" si="377"/>
        <v>9791137602663</v>
      </c>
      <c r="AV2341" t="str">
        <f t="shared" si="378"/>
        <v>판타지 웹소설 &gt; 퓨전 판타지</v>
      </c>
    </row>
    <row r="2342" spans="1:48" x14ac:dyDescent="0.4">
      <c r="A2342">
        <v>2313012849</v>
      </c>
      <c r="B2342">
        <v>2313013185</v>
      </c>
      <c r="C2342" t="str">
        <f>T("디버프 마스터 337화")</f>
        <v>디버프 마스터 337화</v>
      </c>
      <c r="D2342" t="str">
        <f>T("337")</f>
        <v>337</v>
      </c>
      <c r="E2342" t="str">
        <f t="shared" si="375"/>
        <v>담화공</v>
      </c>
      <c r="H2342" t="str">
        <f t="shared" si="379"/>
        <v>스토리위즈</v>
      </c>
      <c r="I2342" t="str">
        <f t="shared" si="376"/>
        <v>디버프 마스터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200</v>
      </c>
      <c r="AL2342">
        <v>0</v>
      </c>
      <c r="AM2342">
        <v>0</v>
      </c>
      <c r="AN2342">
        <v>0</v>
      </c>
      <c r="AO2342">
        <v>0</v>
      </c>
      <c r="AP2342">
        <v>140</v>
      </c>
      <c r="AT2342" t="str">
        <f t="shared" si="377"/>
        <v>9791137602663</v>
      </c>
      <c r="AV2342" t="str">
        <f t="shared" si="378"/>
        <v>판타지 웹소설 &gt; 퓨전 판타지</v>
      </c>
    </row>
    <row r="2343" spans="1:48" x14ac:dyDescent="0.4">
      <c r="A2343">
        <v>2313012849</v>
      </c>
      <c r="B2343">
        <v>2313013186</v>
      </c>
      <c r="C2343" t="str">
        <f>T("디버프 마스터 338화")</f>
        <v>디버프 마스터 338화</v>
      </c>
      <c r="D2343" t="str">
        <f>T("338")</f>
        <v>338</v>
      </c>
      <c r="E2343" t="str">
        <f t="shared" si="375"/>
        <v>담화공</v>
      </c>
      <c r="H2343" t="str">
        <f t="shared" si="379"/>
        <v>스토리위즈</v>
      </c>
      <c r="I2343" t="str">
        <f t="shared" si="376"/>
        <v>디버프 마스터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200</v>
      </c>
      <c r="AL2343">
        <v>0</v>
      </c>
      <c r="AM2343">
        <v>0</v>
      </c>
      <c r="AN2343">
        <v>0</v>
      </c>
      <c r="AO2343">
        <v>0</v>
      </c>
      <c r="AP2343">
        <v>140</v>
      </c>
      <c r="AT2343" t="str">
        <f t="shared" si="377"/>
        <v>9791137602663</v>
      </c>
      <c r="AV2343" t="str">
        <f t="shared" si="378"/>
        <v>판타지 웹소설 &gt; 퓨전 판타지</v>
      </c>
    </row>
    <row r="2344" spans="1:48" x14ac:dyDescent="0.4">
      <c r="A2344">
        <v>2313012849</v>
      </c>
      <c r="B2344">
        <v>2313013187</v>
      </c>
      <c r="C2344" t="str">
        <f>T("디버프 마스터 339화")</f>
        <v>디버프 마스터 339화</v>
      </c>
      <c r="D2344" t="str">
        <f>T("339")</f>
        <v>339</v>
      </c>
      <c r="E2344" t="str">
        <f t="shared" si="375"/>
        <v>담화공</v>
      </c>
      <c r="H2344" t="str">
        <f t="shared" si="379"/>
        <v>스토리위즈</v>
      </c>
      <c r="I2344" t="str">
        <f t="shared" si="376"/>
        <v>디버프 마스터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200</v>
      </c>
      <c r="AL2344">
        <v>0</v>
      </c>
      <c r="AM2344">
        <v>0</v>
      </c>
      <c r="AN2344">
        <v>0</v>
      </c>
      <c r="AO2344">
        <v>0</v>
      </c>
      <c r="AP2344">
        <v>140</v>
      </c>
      <c r="AT2344" t="str">
        <f t="shared" si="377"/>
        <v>9791137602663</v>
      </c>
      <c r="AV2344" t="str">
        <f t="shared" si="378"/>
        <v>판타지 웹소설 &gt; 퓨전 판타지</v>
      </c>
    </row>
    <row r="2345" spans="1:48" x14ac:dyDescent="0.4">
      <c r="A2345">
        <v>2313012849</v>
      </c>
      <c r="B2345">
        <v>2313013188</v>
      </c>
      <c r="C2345" t="str">
        <f>T("디버프 마스터 340화")</f>
        <v>디버프 마스터 340화</v>
      </c>
      <c r="D2345" t="str">
        <f>T("340")</f>
        <v>340</v>
      </c>
      <c r="E2345" t="str">
        <f t="shared" si="375"/>
        <v>담화공</v>
      </c>
      <c r="H2345" t="str">
        <f t="shared" si="379"/>
        <v>스토리위즈</v>
      </c>
      <c r="I2345" t="str">
        <f t="shared" si="376"/>
        <v>디버프 마스터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200</v>
      </c>
      <c r="AL2345">
        <v>0</v>
      </c>
      <c r="AM2345">
        <v>0</v>
      </c>
      <c r="AN2345">
        <v>0</v>
      </c>
      <c r="AO2345">
        <v>0</v>
      </c>
      <c r="AP2345">
        <v>140</v>
      </c>
      <c r="AT2345" t="str">
        <f t="shared" si="377"/>
        <v>9791137602663</v>
      </c>
      <c r="AV2345" t="str">
        <f t="shared" si="378"/>
        <v>판타지 웹소설 &gt; 퓨전 판타지</v>
      </c>
    </row>
    <row r="2346" spans="1:48" x14ac:dyDescent="0.4">
      <c r="A2346">
        <v>2313012849</v>
      </c>
      <c r="B2346">
        <v>2313013189</v>
      </c>
      <c r="C2346" t="str">
        <f>T("디버프 마스터 341화")</f>
        <v>디버프 마스터 341화</v>
      </c>
      <c r="D2346" t="str">
        <f>T("341")</f>
        <v>341</v>
      </c>
      <c r="E2346" t="str">
        <f t="shared" si="375"/>
        <v>담화공</v>
      </c>
      <c r="H2346" t="str">
        <f t="shared" si="379"/>
        <v>스토리위즈</v>
      </c>
      <c r="I2346" t="str">
        <f t="shared" si="376"/>
        <v>디버프 마스터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200</v>
      </c>
      <c r="AL2346">
        <v>0</v>
      </c>
      <c r="AM2346">
        <v>0</v>
      </c>
      <c r="AN2346">
        <v>0</v>
      </c>
      <c r="AO2346">
        <v>0</v>
      </c>
      <c r="AP2346">
        <v>140</v>
      </c>
      <c r="AT2346" t="str">
        <f t="shared" si="377"/>
        <v>9791137602663</v>
      </c>
      <c r="AV2346" t="str">
        <f t="shared" si="378"/>
        <v>판타지 웹소설 &gt; 퓨전 판타지</v>
      </c>
    </row>
    <row r="2347" spans="1:48" x14ac:dyDescent="0.4">
      <c r="A2347">
        <v>2313012849</v>
      </c>
      <c r="B2347">
        <v>2313013190</v>
      </c>
      <c r="C2347" t="str">
        <f>T("디버프 마스터 342화")</f>
        <v>디버프 마스터 342화</v>
      </c>
      <c r="D2347" t="str">
        <f>T("342")</f>
        <v>342</v>
      </c>
      <c r="E2347" t="str">
        <f t="shared" si="375"/>
        <v>담화공</v>
      </c>
      <c r="H2347" t="str">
        <f t="shared" si="379"/>
        <v>스토리위즈</v>
      </c>
      <c r="I2347" t="str">
        <f t="shared" si="376"/>
        <v>디버프 마스터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200</v>
      </c>
      <c r="AL2347">
        <v>0</v>
      </c>
      <c r="AM2347">
        <v>0</v>
      </c>
      <c r="AN2347">
        <v>0</v>
      </c>
      <c r="AO2347">
        <v>0</v>
      </c>
      <c r="AP2347">
        <v>140</v>
      </c>
      <c r="AT2347" t="str">
        <f t="shared" si="377"/>
        <v>9791137602663</v>
      </c>
      <c r="AV2347" t="str">
        <f t="shared" si="378"/>
        <v>판타지 웹소설 &gt; 퓨전 판타지</v>
      </c>
    </row>
    <row r="2348" spans="1:48" x14ac:dyDescent="0.4">
      <c r="A2348">
        <v>2313012849</v>
      </c>
      <c r="B2348">
        <v>2313013191</v>
      </c>
      <c r="C2348" t="str">
        <f>T("디버프 마스터 343화")</f>
        <v>디버프 마스터 343화</v>
      </c>
      <c r="D2348" t="str">
        <f>T("343")</f>
        <v>343</v>
      </c>
      <c r="E2348" t="str">
        <f t="shared" si="375"/>
        <v>담화공</v>
      </c>
      <c r="H2348" t="str">
        <f t="shared" si="379"/>
        <v>스토리위즈</v>
      </c>
      <c r="I2348" t="str">
        <f t="shared" si="376"/>
        <v>디버프 마스터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200</v>
      </c>
      <c r="AL2348">
        <v>0</v>
      </c>
      <c r="AM2348">
        <v>0</v>
      </c>
      <c r="AN2348">
        <v>0</v>
      </c>
      <c r="AO2348">
        <v>0</v>
      </c>
      <c r="AP2348">
        <v>140</v>
      </c>
      <c r="AT2348" t="str">
        <f t="shared" si="377"/>
        <v>9791137602663</v>
      </c>
      <c r="AV2348" t="str">
        <f t="shared" si="378"/>
        <v>판타지 웹소설 &gt; 퓨전 판타지</v>
      </c>
    </row>
    <row r="2349" spans="1:48" x14ac:dyDescent="0.4">
      <c r="A2349">
        <v>2313012849</v>
      </c>
      <c r="B2349">
        <v>2313013192</v>
      </c>
      <c r="C2349" t="str">
        <f>T("디버프 마스터 344화")</f>
        <v>디버프 마스터 344화</v>
      </c>
      <c r="D2349" t="str">
        <f>T("344")</f>
        <v>344</v>
      </c>
      <c r="E2349" t="str">
        <f t="shared" si="375"/>
        <v>담화공</v>
      </c>
      <c r="H2349" t="str">
        <f t="shared" si="379"/>
        <v>스토리위즈</v>
      </c>
      <c r="I2349" t="str">
        <f t="shared" si="376"/>
        <v>디버프 마스터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200</v>
      </c>
      <c r="AL2349">
        <v>0</v>
      </c>
      <c r="AM2349">
        <v>0</v>
      </c>
      <c r="AN2349">
        <v>0</v>
      </c>
      <c r="AO2349">
        <v>0</v>
      </c>
      <c r="AP2349">
        <v>140</v>
      </c>
      <c r="AT2349" t="str">
        <f t="shared" si="377"/>
        <v>9791137602663</v>
      </c>
      <c r="AV2349" t="str">
        <f t="shared" si="378"/>
        <v>판타지 웹소설 &gt; 퓨전 판타지</v>
      </c>
    </row>
    <row r="2350" spans="1:48" x14ac:dyDescent="0.4">
      <c r="A2350">
        <v>2313012849</v>
      </c>
      <c r="B2350">
        <v>2313013193</v>
      </c>
      <c r="C2350" t="str">
        <f>T("디버프 마스터 345화")</f>
        <v>디버프 마스터 345화</v>
      </c>
      <c r="D2350" t="str">
        <f>T("345")</f>
        <v>345</v>
      </c>
      <c r="E2350" t="str">
        <f t="shared" si="375"/>
        <v>담화공</v>
      </c>
      <c r="H2350" t="str">
        <f t="shared" si="379"/>
        <v>스토리위즈</v>
      </c>
      <c r="I2350" t="str">
        <f t="shared" si="376"/>
        <v>디버프 마스터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200</v>
      </c>
      <c r="AL2350">
        <v>0</v>
      </c>
      <c r="AM2350">
        <v>0</v>
      </c>
      <c r="AN2350">
        <v>0</v>
      </c>
      <c r="AO2350">
        <v>0</v>
      </c>
      <c r="AP2350">
        <v>140</v>
      </c>
      <c r="AT2350" t="str">
        <f t="shared" si="377"/>
        <v>9791137602663</v>
      </c>
      <c r="AV2350" t="str">
        <f t="shared" si="378"/>
        <v>판타지 웹소설 &gt; 퓨전 판타지</v>
      </c>
    </row>
    <row r="2351" spans="1:48" x14ac:dyDescent="0.4">
      <c r="A2351">
        <v>2313012849</v>
      </c>
      <c r="B2351">
        <v>2313013194</v>
      </c>
      <c r="C2351" t="str">
        <f>T("디버프 마스터 346화")</f>
        <v>디버프 마스터 346화</v>
      </c>
      <c r="D2351" t="str">
        <f>T("346")</f>
        <v>346</v>
      </c>
      <c r="E2351" t="str">
        <f t="shared" si="375"/>
        <v>담화공</v>
      </c>
      <c r="H2351" t="str">
        <f t="shared" si="379"/>
        <v>스토리위즈</v>
      </c>
      <c r="I2351" t="str">
        <f t="shared" si="376"/>
        <v>디버프 마스터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200</v>
      </c>
      <c r="AL2351">
        <v>0</v>
      </c>
      <c r="AM2351">
        <v>0</v>
      </c>
      <c r="AN2351">
        <v>0</v>
      </c>
      <c r="AO2351">
        <v>0</v>
      </c>
      <c r="AP2351">
        <v>140</v>
      </c>
      <c r="AT2351" t="str">
        <f t="shared" si="377"/>
        <v>9791137602663</v>
      </c>
      <c r="AV2351" t="str">
        <f t="shared" si="378"/>
        <v>판타지 웹소설 &gt; 퓨전 판타지</v>
      </c>
    </row>
    <row r="2352" spans="1:48" x14ac:dyDescent="0.4">
      <c r="A2352">
        <v>2313012849</v>
      </c>
      <c r="B2352">
        <v>2313013195</v>
      </c>
      <c r="C2352" t="str">
        <f>T("디버프 마스터 347화")</f>
        <v>디버프 마스터 347화</v>
      </c>
      <c r="D2352" t="str">
        <f>T("347")</f>
        <v>347</v>
      </c>
      <c r="E2352" t="str">
        <f t="shared" si="375"/>
        <v>담화공</v>
      </c>
      <c r="H2352" t="str">
        <f t="shared" si="379"/>
        <v>스토리위즈</v>
      </c>
      <c r="I2352" t="str">
        <f t="shared" si="376"/>
        <v>디버프 마스터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200</v>
      </c>
      <c r="AL2352">
        <v>0</v>
      </c>
      <c r="AM2352">
        <v>0</v>
      </c>
      <c r="AN2352">
        <v>0</v>
      </c>
      <c r="AO2352">
        <v>0</v>
      </c>
      <c r="AP2352">
        <v>140</v>
      </c>
      <c r="AT2352" t="str">
        <f t="shared" si="377"/>
        <v>9791137602663</v>
      </c>
      <c r="AV2352" t="str">
        <f t="shared" si="378"/>
        <v>판타지 웹소설 &gt; 퓨전 판타지</v>
      </c>
    </row>
    <row r="2353" spans="1:48" x14ac:dyDescent="0.4">
      <c r="A2353">
        <v>2313012849</v>
      </c>
      <c r="B2353">
        <v>2313013196</v>
      </c>
      <c r="C2353" t="str">
        <f>T("디버프 마스터 348화")</f>
        <v>디버프 마스터 348화</v>
      </c>
      <c r="D2353" t="str">
        <f>T("348")</f>
        <v>348</v>
      </c>
      <c r="E2353" t="str">
        <f t="shared" si="375"/>
        <v>담화공</v>
      </c>
      <c r="H2353" t="str">
        <f t="shared" si="379"/>
        <v>스토리위즈</v>
      </c>
      <c r="I2353" t="str">
        <f t="shared" si="376"/>
        <v>디버프 마스터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200</v>
      </c>
      <c r="AL2353">
        <v>0</v>
      </c>
      <c r="AM2353">
        <v>0</v>
      </c>
      <c r="AN2353">
        <v>0</v>
      </c>
      <c r="AO2353">
        <v>0</v>
      </c>
      <c r="AP2353">
        <v>140</v>
      </c>
      <c r="AT2353" t="str">
        <f t="shared" si="377"/>
        <v>9791137602663</v>
      </c>
      <c r="AV2353" t="str">
        <f t="shared" si="378"/>
        <v>판타지 웹소설 &gt; 퓨전 판타지</v>
      </c>
    </row>
    <row r="2354" spans="1:48" x14ac:dyDescent="0.4">
      <c r="A2354">
        <v>2313012849</v>
      </c>
      <c r="B2354">
        <v>2313013197</v>
      </c>
      <c r="C2354" t="str">
        <f>T("디버프 마스터 349화")</f>
        <v>디버프 마스터 349화</v>
      </c>
      <c r="D2354" t="str">
        <f>T("349")</f>
        <v>349</v>
      </c>
      <c r="E2354" t="str">
        <f t="shared" si="375"/>
        <v>담화공</v>
      </c>
      <c r="H2354" t="str">
        <f t="shared" si="379"/>
        <v>스토리위즈</v>
      </c>
      <c r="I2354" t="str">
        <f t="shared" si="376"/>
        <v>디버프 마스터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200</v>
      </c>
      <c r="AL2354">
        <v>0</v>
      </c>
      <c r="AM2354">
        <v>0</v>
      </c>
      <c r="AN2354">
        <v>0</v>
      </c>
      <c r="AO2354">
        <v>0</v>
      </c>
      <c r="AP2354">
        <v>140</v>
      </c>
      <c r="AT2354" t="str">
        <f t="shared" si="377"/>
        <v>9791137602663</v>
      </c>
      <c r="AV2354" t="str">
        <f t="shared" si="378"/>
        <v>판타지 웹소설 &gt; 퓨전 판타지</v>
      </c>
    </row>
    <row r="2355" spans="1:48" x14ac:dyDescent="0.4">
      <c r="A2355">
        <v>2313012849</v>
      </c>
      <c r="B2355">
        <v>2313013198</v>
      </c>
      <c r="C2355" t="str">
        <f>T("디버프 마스터 350화")</f>
        <v>디버프 마스터 350화</v>
      </c>
      <c r="D2355" t="str">
        <f>T("350")</f>
        <v>350</v>
      </c>
      <c r="E2355" t="str">
        <f t="shared" si="375"/>
        <v>담화공</v>
      </c>
      <c r="H2355" t="str">
        <f t="shared" si="379"/>
        <v>스토리위즈</v>
      </c>
      <c r="I2355" t="str">
        <f t="shared" si="376"/>
        <v>디버프 마스터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200</v>
      </c>
      <c r="AL2355">
        <v>0</v>
      </c>
      <c r="AM2355">
        <v>0</v>
      </c>
      <c r="AN2355">
        <v>0</v>
      </c>
      <c r="AO2355">
        <v>0</v>
      </c>
      <c r="AP2355">
        <v>140</v>
      </c>
      <c r="AT2355" t="str">
        <f t="shared" si="377"/>
        <v>9791137602663</v>
      </c>
      <c r="AV2355" t="str">
        <f t="shared" si="378"/>
        <v>판타지 웹소설 &gt; 퓨전 판타지</v>
      </c>
    </row>
    <row r="2356" spans="1:48" x14ac:dyDescent="0.4">
      <c r="A2356">
        <v>2313012849</v>
      </c>
      <c r="B2356">
        <v>2313013199</v>
      </c>
      <c r="C2356" t="str">
        <f>T("디버프 마스터 351화")</f>
        <v>디버프 마스터 351화</v>
      </c>
      <c r="D2356" t="str">
        <f>T("351")</f>
        <v>351</v>
      </c>
      <c r="E2356" t="str">
        <f t="shared" si="375"/>
        <v>담화공</v>
      </c>
      <c r="H2356" t="str">
        <f t="shared" si="379"/>
        <v>스토리위즈</v>
      </c>
      <c r="I2356" t="str">
        <f t="shared" si="376"/>
        <v>디버프 마스터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200</v>
      </c>
      <c r="AL2356">
        <v>0</v>
      </c>
      <c r="AM2356">
        <v>0</v>
      </c>
      <c r="AN2356">
        <v>0</v>
      </c>
      <c r="AO2356">
        <v>0</v>
      </c>
      <c r="AP2356">
        <v>140</v>
      </c>
      <c r="AT2356" t="str">
        <f t="shared" si="377"/>
        <v>9791137602663</v>
      </c>
      <c r="AV2356" t="str">
        <f t="shared" si="378"/>
        <v>판타지 웹소설 &gt; 퓨전 판타지</v>
      </c>
    </row>
    <row r="2357" spans="1:48" x14ac:dyDescent="0.4">
      <c r="A2357">
        <v>2313012849</v>
      </c>
      <c r="B2357">
        <v>2313013200</v>
      </c>
      <c r="C2357" t="str">
        <f>T("디버프 마스터 352화")</f>
        <v>디버프 마스터 352화</v>
      </c>
      <c r="D2357" t="str">
        <f>T("352")</f>
        <v>352</v>
      </c>
      <c r="E2357" t="str">
        <f t="shared" si="375"/>
        <v>담화공</v>
      </c>
      <c r="H2357" t="str">
        <f t="shared" si="379"/>
        <v>스토리위즈</v>
      </c>
      <c r="I2357" t="str">
        <f t="shared" si="376"/>
        <v>디버프 마스터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200</v>
      </c>
      <c r="AL2357">
        <v>0</v>
      </c>
      <c r="AM2357">
        <v>0</v>
      </c>
      <c r="AN2357">
        <v>0</v>
      </c>
      <c r="AO2357">
        <v>0</v>
      </c>
      <c r="AP2357">
        <v>140</v>
      </c>
      <c r="AT2357" t="str">
        <f t="shared" si="377"/>
        <v>9791137602663</v>
      </c>
      <c r="AV2357" t="str">
        <f t="shared" si="378"/>
        <v>판타지 웹소설 &gt; 퓨전 판타지</v>
      </c>
    </row>
    <row r="2358" spans="1:48" x14ac:dyDescent="0.4">
      <c r="A2358">
        <v>2313012849</v>
      </c>
      <c r="B2358">
        <v>2313013201</v>
      </c>
      <c r="C2358" t="str">
        <f>T("디버프 마스터 353화")</f>
        <v>디버프 마스터 353화</v>
      </c>
      <c r="D2358" t="str">
        <f>T("353")</f>
        <v>353</v>
      </c>
      <c r="E2358" t="str">
        <f t="shared" si="375"/>
        <v>담화공</v>
      </c>
      <c r="H2358" t="str">
        <f t="shared" si="379"/>
        <v>스토리위즈</v>
      </c>
      <c r="I2358" t="str">
        <f t="shared" si="376"/>
        <v>디버프 마스터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200</v>
      </c>
      <c r="AL2358">
        <v>0</v>
      </c>
      <c r="AM2358">
        <v>0</v>
      </c>
      <c r="AN2358">
        <v>0</v>
      </c>
      <c r="AO2358">
        <v>0</v>
      </c>
      <c r="AP2358">
        <v>140</v>
      </c>
      <c r="AT2358" t="str">
        <f t="shared" si="377"/>
        <v>9791137602663</v>
      </c>
      <c r="AV2358" t="str">
        <f t="shared" si="378"/>
        <v>판타지 웹소설 &gt; 퓨전 판타지</v>
      </c>
    </row>
    <row r="2359" spans="1:48" x14ac:dyDescent="0.4">
      <c r="A2359">
        <v>2313012849</v>
      </c>
      <c r="B2359">
        <v>2313013202</v>
      </c>
      <c r="C2359" t="str">
        <f>T("디버프 마스터 354화")</f>
        <v>디버프 마스터 354화</v>
      </c>
      <c r="D2359" t="str">
        <f>T("354")</f>
        <v>354</v>
      </c>
      <c r="E2359" t="str">
        <f t="shared" si="375"/>
        <v>담화공</v>
      </c>
      <c r="H2359" t="str">
        <f t="shared" si="379"/>
        <v>스토리위즈</v>
      </c>
      <c r="I2359" t="str">
        <f t="shared" si="376"/>
        <v>디버프 마스터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200</v>
      </c>
      <c r="AL2359">
        <v>0</v>
      </c>
      <c r="AM2359">
        <v>0</v>
      </c>
      <c r="AN2359">
        <v>0</v>
      </c>
      <c r="AO2359">
        <v>0</v>
      </c>
      <c r="AP2359">
        <v>140</v>
      </c>
      <c r="AT2359" t="str">
        <f t="shared" si="377"/>
        <v>9791137602663</v>
      </c>
      <c r="AV2359" t="str">
        <f t="shared" si="378"/>
        <v>판타지 웹소설 &gt; 퓨전 판타지</v>
      </c>
    </row>
    <row r="2360" spans="1:48" x14ac:dyDescent="0.4">
      <c r="A2360">
        <v>2313012849</v>
      </c>
      <c r="B2360">
        <v>2313013203</v>
      </c>
      <c r="C2360" t="str">
        <f>T("디버프 마스터 355화")</f>
        <v>디버프 마스터 355화</v>
      </c>
      <c r="D2360" t="str">
        <f>T("355")</f>
        <v>355</v>
      </c>
      <c r="E2360" t="str">
        <f t="shared" si="375"/>
        <v>담화공</v>
      </c>
      <c r="H2360" t="str">
        <f t="shared" si="379"/>
        <v>스토리위즈</v>
      </c>
      <c r="I2360" t="str">
        <f t="shared" si="376"/>
        <v>디버프 마스터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200</v>
      </c>
      <c r="AL2360">
        <v>0</v>
      </c>
      <c r="AM2360">
        <v>0</v>
      </c>
      <c r="AN2360">
        <v>0</v>
      </c>
      <c r="AO2360">
        <v>0</v>
      </c>
      <c r="AP2360">
        <v>140</v>
      </c>
      <c r="AT2360" t="str">
        <f t="shared" si="377"/>
        <v>9791137602663</v>
      </c>
      <c r="AV2360" t="str">
        <f t="shared" si="378"/>
        <v>판타지 웹소설 &gt; 퓨전 판타지</v>
      </c>
    </row>
    <row r="2361" spans="1:48" x14ac:dyDescent="0.4">
      <c r="A2361">
        <v>2313012849</v>
      </c>
      <c r="B2361">
        <v>2313013204</v>
      </c>
      <c r="C2361" t="str">
        <f>T("디버프 마스터 356화")</f>
        <v>디버프 마스터 356화</v>
      </c>
      <c r="D2361" t="str">
        <f>T("356")</f>
        <v>356</v>
      </c>
      <c r="E2361" t="str">
        <f t="shared" si="375"/>
        <v>담화공</v>
      </c>
      <c r="H2361" t="str">
        <f t="shared" si="379"/>
        <v>스토리위즈</v>
      </c>
      <c r="I2361" t="str">
        <f t="shared" si="376"/>
        <v>디버프 마스터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200</v>
      </c>
      <c r="AL2361">
        <v>0</v>
      </c>
      <c r="AM2361">
        <v>0</v>
      </c>
      <c r="AN2361">
        <v>0</v>
      </c>
      <c r="AO2361">
        <v>0</v>
      </c>
      <c r="AP2361">
        <v>140</v>
      </c>
      <c r="AT2361" t="str">
        <f t="shared" si="377"/>
        <v>9791137602663</v>
      </c>
      <c r="AV2361" t="str">
        <f t="shared" si="378"/>
        <v>판타지 웹소설 &gt; 퓨전 판타지</v>
      </c>
    </row>
    <row r="2362" spans="1:48" x14ac:dyDescent="0.4">
      <c r="A2362">
        <v>2313012849</v>
      </c>
      <c r="B2362">
        <v>2313013205</v>
      </c>
      <c r="C2362" t="str">
        <f>T("디버프 마스터 357화")</f>
        <v>디버프 마스터 357화</v>
      </c>
      <c r="D2362" t="str">
        <f>T("357")</f>
        <v>357</v>
      </c>
      <c r="E2362" t="str">
        <f t="shared" si="375"/>
        <v>담화공</v>
      </c>
      <c r="H2362" t="str">
        <f t="shared" si="379"/>
        <v>스토리위즈</v>
      </c>
      <c r="I2362" t="str">
        <f t="shared" si="376"/>
        <v>디버프 마스터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200</v>
      </c>
      <c r="AL2362">
        <v>0</v>
      </c>
      <c r="AM2362">
        <v>0</v>
      </c>
      <c r="AN2362">
        <v>0</v>
      </c>
      <c r="AO2362">
        <v>0</v>
      </c>
      <c r="AP2362">
        <v>140</v>
      </c>
      <c r="AT2362" t="str">
        <f t="shared" si="377"/>
        <v>9791137602663</v>
      </c>
      <c r="AV2362" t="str">
        <f t="shared" si="378"/>
        <v>판타지 웹소설 &gt; 퓨전 판타지</v>
      </c>
    </row>
    <row r="2363" spans="1:48" x14ac:dyDescent="0.4">
      <c r="A2363">
        <v>2313012849</v>
      </c>
      <c r="B2363">
        <v>2313013206</v>
      </c>
      <c r="C2363" t="str">
        <f>T("디버프 마스터 358화")</f>
        <v>디버프 마스터 358화</v>
      </c>
      <c r="D2363" t="str">
        <f>T("358")</f>
        <v>358</v>
      </c>
      <c r="E2363" t="str">
        <f t="shared" si="375"/>
        <v>담화공</v>
      </c>
      <c r="H2363" t="str">
        <f t="shared" si="379"/>
        <v>스토리위즈</v>
      </c>
      <c r="I2363" t="str">
        <f t="shared" si="376"/>
        <v>디버프 마스터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200</v>
      </c>
      <c r="AL2363">
        <v>0</v>
      </c>
      <c r="AM2363">
        <v>0</v>
      </c>
      <c r="AN2363">
        <v>0</v>
      </c>
      <c r="AO2363">
        <v>0</v>
      </c>
      <c r="AP2363">
        <v>140</v>
      </c>
      <c r="AT2363" t="str">
        <f t="shared" si="377"/>
        <v>9791137602663</v>
      </c>
      <c r="AV2363" t="str">
        <f t="shared" si="378"/>
        <v>판타지 웹소설 &gt; 퓨전 판타지</v>
      </c>
    </row>
    <row r="2364" spans="1:48" x14ac:dyDescent="0.4">
      <c r="A2364">
        <v>2313012849</v>
      </c>
      <c r="B2364">
        <v>2313013207</v>
      </c>
      <c r="C2364" t="str">
        <f>T("디버프 마스터 359화")</f>
        <v>디버프 마스터 359화</v>
      </c>
      <c r="D2364" t="str">
        <f>T("359")</f>
        <v>359</v>
      </c>
      <c r="E2364" t="str">
        <f t="shared" si="375"/>
        <v>담화공</v>
      </c>
      <c r="H2364" t="str">
        <f t="shared" si="379"/>
        <v>스토리위즈</v>
      </c>
      <c r="I2364" t="str">
        <f t="shared" si="376"/>
        <v>디버프 마스터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200</v>
      </c>
      <c r="AL2364">
        <v>0</v>
      </c>
      <c r="AM2364">
        <v>0</v>
      </c>
      <c r="AN2364">
        <v>0</v>
      </c>
      <c r="AO2364">
        <v>0</v>
      </c>
      <c r="AP2364">
        <v>140</v>
      </c>
      <c r="AT2364" t="str">
        <f t="shared" si="377"/>
        <v>9791137602663</v>
      </c>
      <c r="AV2364" t="str">
        <f t="shared" si="378"/>
        <v>판타지 웹소설 &gt; 퓨전 판타지</v>
      </c>
    </row>
    <row r="2365" spans="1:48" x14ac:dyDescent="0.4">
      <c r="A2365">
        <v>2313012849</v>
      </c>
      <c r="B2365">
        <v>2313013208</v>
      </c>
      <c r="C2365" t="str">
        <f>T("디버프 마스터 360화")</f>
        <v>디버프 마스터 360화</v>
      </c>
      <c r="D2365" t="str">
        <f>T("360")</f>
        <v>360</v>
      </c>
      <c r="E2365" t="str">
        <f t="shared" si="375"/>
        <v>담화공</v>
      </c>
      <c r="H2365" t="str">
        <f t="shared" si="379"/>
        <v>스토리위즈</v>
      </c>
      <c r="I2365" t="str">
        <f t="shared" si="376"/>
        <v>디버프 마스터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200</v>
      </c>
      <c r="AL2365">
        <v>0</v>
      </c>
      <c r="AM2365">
        <v>0</v>
      </c>
      <c r="AN2365">
        <v>0</v>
      </c>
      <c r="AO2365">
        <v>0</v>
      </c>
      <c r="AP2365">
        <v>140</v>
      </c>
      <c r="AT2365" t="str">
        <f t="shared" si="377"/>
        <v>9791137602663</v>
      </c>
      <c r="AV2365" t="str">
        <f t="shared" si="378"/>
        <v>판타지 웹소설 &gt; 퓨전 판타지</v>
      </c>
    </row>
    <row r="2366" spans="1:48" x14ac:dyDescent="0.4">
      <c r="A2366">
        <v>2313012849</v>
      </c>
      <c r="B2366">
        <v>2313013209</v>
      </c>
      <c r="C2366" t="str">
        <f>T("디버프 마스터 361화")</f>
        <v>디버프 마스터 361화</v>
      </c>
      <c r="D2366" t="str">
        <f>T("361")</f>
        <v>361</v>
      </c>
      <c r="E2366" t="str">
        <f t="shared" si="375"/>
        <v>담화공</v>
      </c>
      <c r="H2366" t="str">
        <f t="shared" si="379"/>
        <v>스토리위즈</v>
      </c>
      <c r="I2366" t="str">
        <f t="shared" si="376"/>
        <v>디버프 마스터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200</v>
      </c>
      <c r="AL2366">
        <v>0</v>
      </c>
      <c r="AM2366">
        <v>0</v>
      </c>
      <c r="AN2366">
        <v>0</v>
      </c>
      <c r="AO2366">
        <v>0</v>
      </c>
      <c r="AP2366">
        <v>140</v>
      </c>
      <c r="AT2366" t="str">
        <f t="shared" si="377"/>
        <v>9791137602663</v>
      </c>
      <c r="AV2366" t="str">
        <f t="shared" si="378"/>
        <v>판타지 웹소설 &gt; 퓨전 판타지</v>
      </c>
    </row>
    <row r="2367" spans="1:48" x14ac:dyDescent="0.4">
      <c r="A2367">
        <v>2313012849</v>
      </c>
      <c r="B2367">
        <v>2313013210</v>
      </c>
      <c r="C2367" t="str">
        <f>T("디버프 마스터 362화")</f>
        <v>디버프 마스터 362화</v>
      </c>
      <c r="D2367" t="str">
        <f>T("362")</f>
        <v>362</v>
      </c>
      <c r="E2367" t="str">
        <f t="shared" si="375"/>
        <v>담화공</v>
      </c>
      <c r="H2367" t="str">
        <f t="shared" si="379"/>
        <v>스토리위즈</v>
      </c>
      <c r="I2367" t="str">
        <f t="shared" si="376"/>
        <v>디버프 마스터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200</v>
      </c>
      <c r="AL2367">
        <v>0</v>
      </c>
      <c r="AM2367">
        <v>0</v>
      </c>
      <c r="AN2367">
        <v>0</v>
      </c>
      <c r="AO2367">
        <v>0</v>
      </c>
      <c r="AP2367">
        <v>140</v>
      </c>
      <c r="AT2367" t="str">
        <f t="shared" si="377"/>
        <v>9791137602663</v>
      </c>
      <c r="AV2367" t="str">
        <f t="shared" si="378"/>
        <v>판타지 웹소설 &gt; 퓨전 판타지</v>
      </c>
    </row>
    <row r="2368" spans="1:48" x14ac:dyDescent="0.4">
      <c r="A2368">
        <v>2313012849</v>
      </c>
      <c r="B2368">
        <v>2313013211</v>
      </c>
      <c r="C2368" t="str">
        <f>T("디버프 마스터 363화")</f>
        <v>디버프 마스터 363화</v>
      </c>
      <c r="D2368" t="str">
        <f>T("363")</f>
        <v>363</v>
      </c>
      <c r="E2368" t="str">
        <f t="shared" si="375"/>
        <v>담화공</v>
      </c>
      <c r="H2368" t="str">
        <f t="shared" si="379"/>
        <v>스토리위즈</v>
      </c>
      <c r="I2368" t="str">
        <f t="shared" si="376"/>
        <v>디버프 마스터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200</v>
      </c>
      <c r="AL2368">
        <v>0</v>
      </c>
      <c r="AM2368">
        <v>0</v>
      </c>
      <c r="AN2368">
        <v>0</v>
      </c>
      <c r="AO2368">
        <v>0</v>
      </c>
      <c r="AP2368">
        <v>140</v>
      </c>
      <c r="AT2368" t="str">
        <f t="shared" si="377"/>
        <v>9791137602663</v>
      </c>
      <c r="AV2368" t="str">
        <f t="shared" si="378"/>
        <v>판타지 웹소설 &gt; 퓨전 판타지</v>
      </c>
    </row>
    <row r="2369" spans="1:48" x14ac:dyDescent="0.4">
      <c r="A2369">
        <v>2313012849</v>
      </c>
      <c r="B2369">
        <v>2313013212</v>
      </c>
      <c r="C2369" t="str">
        <f>T("디버프 마스터 364화")</f>
        <v>디버프 마스터 364화</v>
      </c>
      <c r="D2369" t="str">
        <f>T("364")</f>
        <v>364</v>
      </c>
      <c r="E2369" t="str">
        <f t="shared" si="375"/>
        <v>담화공</v>
      </c>
      <c r="H2369" t="str">
        <f t="shared" si="379"/>
        <v>스토리위즈</v>
      </c>
      <c r="I2369" t="str">
        <f t="shared" si="376"/>
        <v>디버프 마스터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200</v>
      </c>
      <c r="AL2369">
        <v>0</v>
      </c>
      <c r="AM2369">
        <v>0</v>
      </c>
      <c r="AN2369">
        <v>0</v>
      </c>
      <c r="AO2369">
        <v>0</v>
      </c>
      <c r="AP2369">
        <v>140</v>
      </c>
      <c r="AT2369" t="str">
        <f t="shared" si="377"/>
        <v>9791137602663</v>
      </c>
      <c r="AV2369" t="str">
        <f t="shared" si="378"/>
        <v>판타지 웹소설 &gt; 퓨전 판타지</v>
      </c>
    </row>
    <row r="2370" spans="1:48" x14ac:dyDescent="0.4">
      <c r="A2370">
        <v>2313012849</v>
      </c>
      <c r="B2370">
        <v>2313013213</v>
      </c>
      <c r="C2370" t="str">
        <f>T("디버프 마스터 365화")</f>
        <v>디버프 마스터 365화</v>
      </c>
      <c r="D2370" t="str">
        <f>T("365")</f>
        <v>365</v>
      </c>
      <c r="E2370" t="str">
        <f t="shared" si="375"/>
        <v>담화공</v>
      </c>
      <c r="H2370" t="str">
        <f t="shared" si="379"/>
        <v>스토리위즈</v>
      </c>
      <c r="I2370" t="str">
        <f t="shared" si="376"/>
        <v>디버프 마스터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200</v>
      </c>
      <c r="AL2370">
        <v>0</v>
      </c>
      <c r="AM2370">
        <v>0</v>
      </c>
      <c r="AN2370">
        <v>0</v>
      </c>
      <c r="AO2370">
        <v>0</v>
      </c>
      <c r="AP2370">
        <v>140</v>
      </c>
      <c r="AT2370" t="str">
        <f t="shared" si="377"/>
        <v>9791137602663</v>
      </c>
      <c r="AV2370" t="str">
        <f t="shared" si="378"/>
        <v>판타지 웹소설 &gt; 퓨전 판타지</v>
      </c>
    </row>
    <row r="2371" spans="1:48" x14ac:dyDescent="0.4">
      <c r="A2371">
        <v>2313012849</v>
      </c>
      <c r="B2371">
        <v>2313013214</v>
      </c>
      <c r="C2371" t="str">
        <f>T("디버프 마스터 366화")</f>
        <v>디버프 마스터 366화</v>
      </c>
      <c r="D2371" t="str">
        <f>T("366")</f>
        <v>366</v>
      </c>
      <c r="E2371" t="str">
        <f t="shared" si="375"/>
        <v>담화공</v>
      </c>
      <c r="H2371" t="str">
        <f t="shared" si="379"/>
        <v>스토리위즈</v>
      </c>
      <c r="I2371" t="str">
        <f t="shared" si="376"/>
        <v>디버프 마스터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200</v>
      </c>
      <c r="AL2371">
        <v>0</v>
      </c>
      <c r="AM2371">
        <v>0</v>
      </c>
      <c r="AN2371">
        <v>0</v>
      </c>
      <c r="AO2371">
        <v>0</v>
      </c>
      <c r="AP2371">
        <v>140</v>
      </c>
      <c r="AT2371" t="str">
        <f t="shared" si="377"/>
        <v>9791137602663</v>
      </c>
      <c r="AV2371" t="str">
        <f t="shared" si="378"/>
        <v>판타지 웹소설 &gt; 퓨전 판타지</v>
      </c>
    </row>
    <row r="2372" spans="1:48" x14ac:dyDescent="0.4">
      <c r="A2372">
        <v>2313012849</v>
      </c>
      <c r="B2372">
        <v>2313013215</v>
      </c>
      <c r="C2372" t="str">
        <f>T("디버프 마스터 367화")</f>
        <v>디버프 마스터 367화</v>
      </c>
      <c r="D2372" t="str">
        <f>T("367")</f>
        <v>367</v>
      </c>
      <c r="E2372" t="str">
        <f t="shared" si="375"/>
        <v>담화공</v>
      </c>
      <c r="H2372" t="str">
        <f t="shared" si="379"/>
        <v>스토리위즈</v>
      </c>
      <c r="I2372" t="str">
        <f t="shared" si="376"/>
        <v>디버프 마스터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200</v>
      </c>
      <c r="AL2372">
        <v>0</v>
      </c>
      <c r="AM2372">
        <v>0</v>
      </c>
      <c r="AN2372">
        <v>0</v>
      </c>
      <c r="AO2372">
        <v>0</v>
      </c>
      <c r="AP2372">
        <v>140</v>
      </c>
      <c r="AT2372" t="str">
        <f t="shared" si="377"/>
        <v>9791137602663</v>
      </c>
      <c r="AV2372" t="str">
        <f t="shared" si="378"/>
        <v>판타지 웹소설 &gt; 퓨전 판타지</v>
      </c>
    </row>
    <row r="2373" spans="1:48" x14ac:dyDescent="0.4">
      <c r="A2373">
        <v>2313012849</v>
      </c>
      <c r="B2373">
        <v>2313013216</v>
      </c>
      <c r="C2373" t="str">
        <f>T("디버프 마스터 368화")</f>
        <v>디버프 마스터 368화</v>
      </c>
      <c r="D2373" t="str">
        <f>T("368")</f>
        <v>368</v>
      </c>
      <c r="E2373" t="str">
        <f t="shared" si="375"/>
        <v>담화공</v>
      </c>
      <c r="H2373" t="str">
        <f t="shared" si="379"/>
        <v>스토리위즈</v>
      </c>
      <c r="I2373" t="str">
        <f t="shared" si="376"/>
        <v>디버프 마스터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200</v>
      </c>
      <c r="AL2373">
        <v>0</v>
      </c>
      <c r="AM2373">
        <v>0</v>
      </c>
      <c r="AN2373">
        <v>0</v>
      </c>
      <c r="AO2373">
        <v>0</v>
      </c>
      <c r="AP2373">
        <v>140</v>
      </c>
      <c r="AT2373" t="str">
        <f t="shared" si="377"/>
        <v>9791137602663</v>
      </c>
      <c r="AV2373" t="str">
        <f t="shared" si="378"/>
        <v>판타지 웹소설 &gt; 퓨전 판타지</v>
      </c>
    </row>
    <row r="2374" spans="1:48" x14ac:dyDescent="0.4">
      <c r="A2374">
        <v>2313012849</v>
      </c>
      <c r="B2374">
        <v>2313013217</v>
      </c>
      <c r="C2374" t="str">
        <f>T("디버프 마스터 369화")</f>
        <v>디버프 마스터 369화</v>
      </c>
      <c r="D2374" t="str">
        <f>T("369")</f>
        <v>369</v>
      </c>
      <c r="E2374" t="str">
        <f t="shared" si="375"/>
        <v>담화공</v>
      </c>
      <c r="H2374" t="str">
        <f t="shared" si="379"/>
        <v>스토리위즈</v>
      </c>
      <c r="I2374" t="str">
        <f t="shared" si="376"/>
        <v>디버프 마스터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200</v>
      </c>
      <c r="AL2374">
        <v>0</v>
      </c>
      <c r="AM2374">
        <v>0</v>
      </c>
      <c r="AN2374">
        <v>0</v>
      </c>
      <c r="AO2374">
        <v>0</v>
      </c>
      <c r="AP2374">
        <v>140</v>
      </c>
      <c r="AT2374" t="str">
        <f t="shared" si="377"/>
        <v>9791137602663</v>
      </c>
      <c r="AV2374" t="str">
        <f t="shared" si="378"/>
        <v>판타지 웹소설 &gt; 퓨전 판타지</v>
      </c>
    </row>
    <row r="2375" spans="1:48" x14ac:dyDescent="0.4">
      <c r="A2375">
        <v>2313012849</v>
      </c>
      <c r="B2375">
        <v>2313013218</v>
      </c>
      <c r="C2375" t="str">
        <f>T("디버프 마스터 370화")</f>
        <v>디버프 마스터 370화</v>
      </c>
      <c r="D2375" t="str">
        <f>T("370")</f>
        <v>370</v>
      </c>
      <c r="E2375" t="str">
        <f t="shared" si="375"/>
        <v>담화공</v>
      </c>
      <c r="H2375" t="str">
        <f t="shared" si="379"/>
        <v>스토리위즈</v>
      </c>
      <c r="I2375" t="str">
        <f t="shared" si="376"/>
        <v>디버프 마스터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200</v>
      </c>
      <c r="AL2375">
        <v>0</v>
      </c>
      <c r="AM2375">
        <v>0</v>
      </c>
      <c r="AN2375">
        <v>0</v>
      </c>
      <c r="AO2375">
        <v>0</v>
      </c>
      <c r="AP2375">
        <v>140</v>
      </c>
      <c r="AT2375" t="str">
        <f t="shared" si="377"/>
        <v>9791137602663</v>
      </c>
      <c r="AV2375" t="str">
        <f t="shared" si="378"/>
        <v>판타지 웹소설 &gt; 퓨전 판타지</v>
      </c>
    </row>
    <row r="2376" spans="1:48" x14ac:dyDescent="0.4">
      <c r="A2376">
        <v>2313012849</v>
      </c>
      <c r="B2376">
        <v>2313013219</v>
      </c>
      <c r="C2376" t="str">
        <f>T("디버프 마스터 371화")</f>
        <v>디버프 마스터 371화</v>
      </c>
      <c r="D2376" t="str">
        <f>T("371")</f>
        <v>371</v>
      </c>
      <c r="E2376" t="str">
        <f t="shared" si="375"/>
        <v>담화공</v>
      </c>
      <c r="H2376" t="str">
        <f t="shared" si="379"/>
        <v>스토리위즈</v>
      </c>
      <c r="I2376" t="str">
        <f t="shared" si="376"/>
        <v>디버프 마스터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200</v>
      </c>
      <c r="AL2376">
        <v>0</v>
      </c>
      <c r="AM2376">
        <v>0</v>
      </c>
      <c r="AN2376">
        <v>0</v>
      </c>
      <c r="AO2376">
        <v>0</v>
      </c>
      <c r="AP2376">
        <v>140</v>
      </c>
      <c r="AT2376" t="str">
        <f t="shared" si="377"/>
        <v>9791137602663</v>
      </c>
      <c r="AV2376" t="str">
        <f t="shared" si="378"/>
        <v>판타지 웹소설 &gt; 퓨전 판타지</v>
      </c>
    </row>
    <row r="2377" spans="1:48" x14ac:dyDescent="0.4">
      <c r="A2377">
        <v>2313012849</v>
      </c>
      <c r="B2377">
        <v>2313013220</v>
      </c>
      <c r="C2377" t="str">
        <f>T("디버프 마스터 372화")</f>
        <v>디버프 마스터 372화</v>
      </c>
      <c r="D2377" t="str">
        <f>T("372")</f>
        <v>372</v>
      </c>
      <c r="E2377" t="str">
        <f t="shared" si="375"/>
        <v>담화공</v>
      </c>
      <c r="H2377" t="str">
        <f t="shared" si="379"/>
        <v>스토리위즈</v>
      </c>
      <c r="I2377" t="str">
        <f t="shared" si="376"/>
        <v>디버프 마스터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200</v>
      </c>
      <c r="AL2377">
        <v>0</v>
      </c>
      <c r="AM2377">
        <v>0</v>
      </c>
      <c r="AN2377">
        <v>0</v>
      </c>
      <c r="AO2377">
        <v>0</v>
      </c>
      <c r="AP2377">
        <v>140</v>
      </c>
      <c r="AT2377" t="str">
        <f t="shared" si="377"/>
        <v>9791137602663</v>
      </c>
      <c r="AV2377" t="str">
        <f t="shared" si="378"/>
        <v>판타지 웹소설 &gt; 퓨전 판타지</v>
      </c>
    </row>
    <row r="2378" spans="1:48" x14ac:dyDescent="0.4">
      <c r="A2378">
        <v>2313012849</v>
      </c>
      <c r="B2378">
        <v>2313013221</v>
      </c>
      <c r="C2378" t="str">
        <f>T("디버프 마스터 373화")</f>
        <v>디버프 마스터 373화</v>
      </c>
      <c r="D2378" t="str">
        <f>T("373")</f>
        <v>373</v>
      </c>
      <c r="E2378" t="str">
        <f t="shared" si="375"/>
        <v>담화공</v>
      </c>
      <c r="H2378" t="str">
        <f t="shared" si="379"/>
        <v>스토리위즈</v>
      </c>
      <c r="I2378" t="str">
        <f t="shared" si="376"/>
        <v>디버프 마스터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200</v>
      </c>
      <c r="AL2378">
        <v>0</v>
      </c>
      <c r="AM2378">
        <v>0</v>
      </c>
      <c r="AN2378">
        <v>0</v>
      </c>
      <c r="AO2378">
        <v>0</v>
      </c>
      <c r="AP2378">
        <v>140</v>
      </c>
      <c r="AT2378" t="str">
        <f t="shared" si="377"/>
        <v>9791137602663</v>
      </c>
      <c r="AV2378" t="str">
        <f t="shared" si="378"/>
        <v>판타지 웹소설 &gt; 퓨전 판타지</v>
      </c>
    </row>
    <row r="2379" spans="1:48" x14ac:dyDescent="0.4">
      <c r="A2379">
        <v>2313012849</v>
      </c>
      <c r="B2379">
        <v>2313013222</v>
      </c>
      <c r="C2379" t="str">
        <f>T("디버프 마스터 374화")</f>
        <v>디버프 마스터 374화</v>
      </c>
      <c r="D2379" t="str">
        <f>T("374")</f>
        <v>374</v>
      </c>
      <c r="E2379" t="str">
        <f t="shared" si="375"/>
        <v>담화공</v>
      </c>
      <c r="H2379" t="str">
        <f t="shared" si="379"/>
        <v>스토리위즈</v>
      </c>
      <c r="I2379" t="str">
        <f t="shared" si="376"/>
        <v>디버프 마스터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200</v>
      </c>
      <c r="AL2379">
        <v>0</v>
      </c>
      <c r="AM2379">
        <v>0</v>
      </c>
      <c r="AN2379">
        <v>0</v>
      </c>
      <c r="AO2379">
        <v>0</v>
      </c>
      <c r="AP2379">
        <v>140</v>
      </c>
      <c r="AT2379" t="str">
        <f t="shared" si="377"/>
        <v>9791137602663</v>
      </c>
      <c r="AV2379" t="str">
        <f t="shared" si="378"/>
        <v>판타지 웹소설 &gt; 퓨전 판타지</v>
      </c>
    </row>
    <row r="2380" spans="1:48" x14ac:dyDescent="0.4">
      <c r="A2380">
        <v>2313012849</v>
      </c>
      <c r="B2380">
        <v>2313013223</v>
      </c>
      <c r="C2380" t="str">
        <f>T("디버프 마스터 375화")</f>
        <v>디버프 마스터 375화</v>
      </c>
      <c r="D2380" t="str">
        <f>T("375")</f>
        <v>375</v>
      </c>
      <c r="E2380" t="str">
        <f t="shared" si="375"/>
        <v>담화공</v>
      </c>
      <c r="H2380" t="str">
        <f t="shared" si="379"/>
        <v>스토리위즈</v>
      </c>
      <c r="I2380" t="str">
        <f t="shared" si="376"/>
        <v>디버프 마스터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200</v>
      </c>
      <c r="AL2380">
        <v>0</v>
      </c>
      <c r="AM2380">
        <v>0</v>
      </c>
      <c r="AN2380">
        <v>0</v>
      </c>
      <c r="AO2380">
        <v>0</v>
      </c>
      <c r="AP2380">
        <v>140</v>
      </c>
      <c r="AT2380" t="str">
        <f t="shared" si="377"/>
        <v>9791137602663</v>
      </c>
      <c r="AV2380" t="str">
        <f t="shared" si="378"/>
        <v>판타지 웹소설 &gt; 퓨전 판타지</v>
      </c>
    </row>
    <row r="2381" spans="1:48" x14ac:dyDescent="0.4">
      <c r="A2381">
        <v>2313012849</v>
      </c>
      <c r="B2381">
        <v>2313013224</v>
      </c>
      <c r="C2381" t="str">
        <f>T("디버프 마스터 376화")</f>
        <v>디버프 마스터 376화</v>
      </c>
      <c r="D2381" t="str">
        <f>T("376")</f>
        <v>376</v>
      </c>
      <c r="E2381" t="str">
        <f t="shared" si="375"/>
        <v>담화공</v>
      </c>
      <c r="H2381" t="str">
        <f t="shared" si="379"/>
        <v>스토리위즈</v>
      </c>
      <c r="I2381" t="str">
        <f t="shared" si="376"/>
        <v>디버프 마스터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200</v>
      </c>
      <c r="AL2381">
        <v>0</v>
      </c>
      <c r="AM2381">
        <v>0</v>
      </c>
      <c r="AN2381">
        <v>0</v>
      </c>
      <c r="AO2381">
        <v>0</v>
      </c>
      <c r="AP2381">
        <v>140</v>
      </c>
      <c r="AT2381" t="str">
        <f t="shared" si="377"/>
        <v>9791137602663</v>
      </c>
      <c r="AV2381" t="str">
        <f t="shared" si="378"/>
        <v>판타지 웹소설 &gt; 퓨전 판타지</v>
      </c>
    </row>
    <row r="2382" spans="1:48" x14ac:dyDescent="0.4">
      <c r="A2382">
        <v>2313012849</v>
      </c>
      <c r="B2382">
        <v>2313013225</v>
      </c>
      <c r="C2382" t="str">
        <f>T("디버프 마스터 377화")</f>
        <v>디버프 마스터 377화</v>
      </c>
      <c r="D2382" t="str">
        <f>T("377")</f>
        <v>377</v>
      </c>
      <c r="E2382" t="str">
        <f t="shared" si="375"/>
        <v>담화공</v>
      </c>
      <c r="H2382" t="str">
        <f t="shared" si="379"/>
        <v>스토리위즈</v>
      </c>
      <c r="I2382" t="str">
        <f t="shared" si="376"/>
        <v>디버프 마스터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200</v>
      </c>
      <c r="AL2382">
        <v>0</v>
      </c>
      <c r="AM2382">
        <v>0</v>
      </c>
      <c r="AN2382">
        <v>0</v>
      </c>
      <c r="AO2382">
        <v>0</v>
      </c>
      <c r="AP2382">
        <v>140</v>
      </c>
      <c r="AT2382" t="str">
        <f t="shared" si="377"/>
        <v>9791137602663</v>
      </c>
      <c r="AV2382" t="str">
        <f t="shared" si="378"/>
        <v>판타지 웹소설 &gt; 퓨전 판타지</v>
      </c>
    </row>
    <row r="2383" spans="1:48" x14ac:dyDescent="0.4">
      <c r="A2383">
        <v>2313012849</v>
      </c>
      <c r="B2383">
        <v>2313013226</v>
      </c>
      <c r="C2383" t="str">
        <f>T("디버프 마스터 378화")</f>
        <v>디버프 마스터 378화</v>
      </c>
      <c r="D2383" t="str">
        <f>T("378")</f>
        <v>378</v>
      </c>
      <c r="E2383" t="str">
        <f t="shared" si="375"/>
        <v>담화공</v>
      </c>
      <c r="H2383" t="str">
        <f t="shared" si="379"/>
        <v>스토리위즈</v>
      </c>
      <c r="I2383" t="str">
        <f t="shared" si="376"/>
        <v>디버프 마스터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200</v>
      </c>
      <c r="AL2383">
        <v>0</v>
      </c>
      <c r="AM2383">
        <v>0</v>
      </c>
      <c r="AN2383">
        <v>0</v>
      </c>
      <c r="AO2383">
        <v>0</v>
      </c>
      <c r="AP2383">
        <v>140</v>
      </c>
      <c r="AT2383" t="str">
        <f t="shared" si="377"/>
        <v>9791137602663</v>
      </c>
      <c r="AV2383" t="str">
        <f t="shared" si="378"/>
        <v>판타지 웹소설 &gt; 퓨전 판타지</v>
      </c>
    </row>
    <row r="2384" spans="1:48" x14ac:dyDescent="0.4">
      <c r="A2384">
        <v>2313012849</v>
      </c>
      <c r="B2384">
        <v>2313013227</v>
      </c>
      <c r="C2384" t="str">
        <f>T("디버프 마스터 379화")</f>
        <v>디버프 마스터 379화</v>
      </c>
      <c r="D2384" t="str">
        <f>T("379")</f>
        <v>379</v>
      </c>
      <c r="E2384" t="str">
        <f t="shared" si="375"/>
        <v>담화공</v>
      </c>
      <c r="H2384" t="str">
        <f t="shared" si="379"/>
        <v>스토리위즈</v>
      </c>
      <c r="I2384" t="str">
        <f t="shared" si="376"/>
        <v>디버프 마스터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200</v>
      </c>
      <c r="AL2384">
        <v>0</v>
      </c>
      <c r="AM2384">
        <v>0</v>
      </c>
      <c r="AN2384">
        <v>0</v>
      </c>
      <c r="AO2384">
        <v>0</v>
      </c>
      <c r="AP2384">
        <v>140</v>
      </c>
      <c r="AT2384" t="str">
        <f t="shared" si="377"/>
        <v>9791137602663</v>
      </c>
      <c r="AV2384" t="str">
        <f t="shared" si="378"/>
        <v>판타지 웹소설 &gt; 퓨전 판타지</v>
      </c>
    </row>
    <row r="2385" spans="1:48" x14ac:dyDescent="0.4">
      <c r="A2385">
        <v>2313012849</v>
      </c>
      <c r="B2385">
        <v>2313013228</v>
      </c>
      <c r="C2385" t="str">
        <f>T("디버프 마스터 380화")</f>
        <v>디버프 마스터 380화</v>
      </c>
      <c r="D2385" t="str">
        <f>T("380")</f>
        <v>380</v>
      </c>
      <c r="E2385" t="str">
        <f t="shared" si="375"/>
        <v>담화공</v>
      </c>
      <c r="H2385" t="str">
        <f t="shared" si="379"/>
        <v>스토리위즈</v>
      </c>
      <c r="I2385" t="str">
        <f t="shared" si="376"/>
        <v>디버프 마스터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200</v>
      </c>
      <c r="AL2385">
        <v>0</v>
      </c>
      <c r="AM2385">
        <v>0</v>
      </c>
      <c r="AN2385">
        <v>0</v>
      </c>
      <c r="AO2385">
        <v>0</v>
      </c>
      <c r="AP2385">
        <v>140</v>
      </c>
      <c r="AT2385" t="str">
        <f t="shared" si="377"/>
        <v>9791137602663</v>
      </c>
      <c r="AV2385" t="str">
        <f t="shared" si="378"/>
        <v>판타지 웹소설 &gt; 퓨전 판타지</v>
      </c>
    </row>
    <row r="2386" spans="1:48" x14ac:dyDescent="0.4">
      <c r="A2386">
        <v>2313012849</v>
      </c>
      <c r="B2386">
        <v>2313013229</v>
      </c>
      <c r="C2386" t="str">
        <f>T("디버프 마스터 381화")</f>
        <v>디버프 마스터 381화</v>
      </c>
      <c r="D2386" t="str">
        <f>T("381")</f>
        <v>381</v>
      </c>
      <c r="E2386" t="str">
        <f t="shared" si="375"/>
        <v>담화공</v>
      </c>
      <c r="H2386" t="str">
        <f t="shared" si="379"/>
        <v>스토리위즈</v>
      </c>
      <c r="I2386" t="str">
        <f t="shared" si="376"/>
        <v>디버프 마스터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200</v>
      </c>
      <c r="AL2386">
        <v>0</v>
      </c>
      <c r="AM2386">
        <v>0</v>
      </c>
      <c r="AN2386">
        <v>0</v>
      </c>
      <c r="AO2386">
        <v>0</v>
      </c>
      <c r="AP2386">
        <v>140</v>
      </c>
      <c r="AT2386" t="str">
        <f t="shared" si="377"/>
        <v>9791137602663</v>
      </c>
      <c r="AV2386" t="str">
        <f t="shared" si="378"/>
        <v>판타지 웹소설 &gt; 퓨전 판타지</v>
      </c>
    </row>
    <row r="2387" spans="1:48" x14ac:dyDescent="0.4">
      <c r="A2387">
        <v>2313012849</v>
      </c>
      <c r="B2387">
        <v>2313013230</v>
      </c>
      <c r="C2387" t="str">
        <f>T("디버프 마스터 382화")</f>
        <v>디버프 마스터 382화</v>
      </c>
      <c r="D2387" t="str">
        <f>T("382")</f>
        <v>382</v>
      </c>
      <c r="E2387" t="str">
        <f t="shared" si="375"/>
        <v>담화공</v>
      </c>
      <c r="H2387" t="str">
        <f t="shared" si="379"/>
        <v>스토리위즈</v>
      </c>
      <c r="I2387" t="str">
        <f t="shared" si="376"/>
        <v>디버프 마스터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200</v>
      </c>
      <c r="AL2387">
        <v>0</v>
      </c>
      <c r="AM2387">
        <v>0</v>
      </c>
      <c r="AN2387">
        <v>0</v>
      </c>
      <c r="AO2387">
        <v>0</v>
      </c>
      <c r="AP2387">
        <v>140</v>
      </c>
      <c r="AT2387" t="str">
        <f t="shared" si="377"/>
        <v>9791137602663</v>
      </c>
      <c r="AV2387" t="str">
        <f t="shared" si="378"/>
        <v>판타지 웹소설 &gt; 퓨전 판타지</v>
      </c>
    </row>
    <row r="2388" spans="1:48" x14ac:dyDescent="0.4">
      <c r="A2388">
        <v>2313012849</v>
      </c>
      <c r="B2388">
        <v>2313013231</v>
      </c>
      <c r="C2388" t="str">
        <f>T("디버프 마스터 383화")</f>
        <v>디버프 마스터 383화</v>
      </c>
      <c r="D2388" t="str">
        <f>T("383")</f>
        <v>383</v>
      </c>
      <c r="E2388" t="str">
        <f t="shared" si="375"/>
        <v>담화공</v>
      </c>
      <c r="H2388" t="str">
        <f t="shared" si="379"/>
        <v>스토리위즈</v>
      </c>
      <c r="I2388" t="str">
        <f t="shared" si="376"/>
        <v>디버프 마스터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200</v>
      </c>
      <c r="AL2388">
        <v>0</v>
      </c>
      <c r="AM2388">
        <v>0</v>
      </c>
      <c r="AN2388">
        <v>0</v>
      </c>
      <c r="AO2388">
        <v>0</v>
      </c>
      <c r="AP2388">
        <v>140</v>
      </c>
      <c r="AT2388" t="str">
        <f t="shared" si="377"/>
        <v>9791137602663</v>
      </c>
      <c r="AV2388" t="str">
        <f t="shared" si="378"/>
        <v>판타지 웹소설 &gt; 퓨전 판타지</v>
      </c>
    </row>
    <row r="2389" spans="1:48" x14ac:dyDescent="0.4">
      <c r="A2389">
        <v>2313012849</v>
      </c>
      <c r="B2389">
        <v>2313013232</v>
      </c>
      <c r="C2389" t="str">
        <f>T("디버프 마스터 384화")</f>
        <v>디버프 마스터 384화</v>
      </c>
      <c r="D2389" t="str">
        <f>T("384")</f>
        <v>384</v>
      </c>
      <c r="E2389" t="str">
        <f t="shared" si="375"/>
        <v>담화공</v>
      </c>
      <c r="H2389" t="str">
        <f t="shared" si="379"/>
        <v>스토리위즈</v>
      </c>
      <c r="I2389" t="str">
        <f t="shared" si="376"/>
        <v>디버프 마스터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200</v>
      </c>
      <c r="AL2389">
        <v>0</v>
      </c>
      <c r="AM2389">
        <v>0</v>
      </c>
      <c r="AN2389">
        <v>0</v>
      </c>
      <c r="AO2389">
        <v>0</v>
      </c>
      <c r="AP2389">
        <v>140</v>
      </c>
      <c r="AT2389" t="str">
        <f t="shared" si="377"/>
        <v>9791137602663</v>
      </c>
      <c r="AV2389" t="str">
        <f t="shared" si="378"/>
        <v>판타지 웹소설 &gt; 퓨전 판타지</v>
      </c>
    </row>
    <row r="2390" spans="1:48" x14ac:dyDescent="0.4">
      <c r="A2390">
        <v>2313012849</v>
      </c>
      <c r="B2390">
        <v>2313013233</v>
      </c>
      <c r="C2390" t="str">
        <f>T("디버프 마스터 385화")</f>
        <v>디버프 마스터 385화</v>
      </c>
      <c r="D2390" t="str">
        <f>T("385")</f>
        <v>385</v>
      </c>
      <c r="E2390" t="str">
        <f t="shared" si="375"/>
        <v>담화공</v>
      </c>
      <c r="H2390" t="str">
        <f t="shared" si="379"/>
        <v>스토리위즈</v>
      </c>
      <c r="I2390" t="str">
        <f t="shared" si="376"/>
        <v>디버프 마스터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200</v>
      </c>
      <c r="AL2390">
        <v>0</v>
      </c>
      <c r="AM2390">
        <v>0</v>
      </c>
      <c r="AN2390">
        <v>0</v>
      </c>
      <c r="AO2390">
        <v>0</v>
      </c>
      <c r="AP2390">
        <v>140</v>
      </c>
      <c r="AT2390" t="str">
        <f t="shared" si="377"/>
        <v>9791137602663</v>
      </c>
      <c r="AV2390" t="str">
        <f t="shared" si="378"/>
        <v>판타지 웹소설 &gt; 퓨전 판타지</v>
      </c>
    </row>
    <row r="2391" spans="1:48" x14ac:dyDescent="0.4">
      <c r="A2391">
        <v>2313012849</v>
      </c>
      <c r="B2391">
        <v>2313013234</v>
      </c>
      <c r="C2391" t="str">
        <f>T("디버프 마스터 386화")</f>
        <v>디버프 마스터 386화</v>
      </c>
      <c r="D2391" t="str">
        <f>T("386")</f>
        <v>386</v>
      </c>
      <c r="E2391" t="str">
        <f t="shared" si="375"/>
        <v>담화공</v>
      </c>
      <c r="H2391" t="str">
        <f t="shared" si="379"/>
        <v>스토리위즈</v>
      </c>
      <c r="I2391" t="str">
        <f t="shared" si="376"/>
        <v>디버프 마스터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200</v>
      </c>
      <c r="AL2391">
        <v>0</v>
      </c>
      <c r="AM2391">
        <v>0</v>
      </c>
      <c r="AN2391">
        <v>0</v>
      </c>
      <c r="AO2391">
        <v>0</v>
      </c>
      <c r="AP2391">
        <v>140</v>
      </c>
      <c r="AT2391" t="str">
        <f t="shared" si="377"/>
        <v>9791137602663</v>
      </c>
      <c r="AV2391" t="str">
        <f t="shared" si="378"/>
        <v>판타지 웹소설 &gt; 퓨전 판타지</v>
      </c>
    </row>
    <row r="2392" spans="1:48" x14ac:dyDescent="0.4">
      <c r="A2392">
        <v>2313012849</v>
      </c>
      <c r="B2392">
        <v>2313013235</v>
      </c>
      <c r="C2392" t="str">
        <f>T("디버프 마스터 387화")</f>
        <v>디버프 마스터 387화</v>
      </c>
      <c r="D2392" t="str">
        <f>T("387")</f>
        <v>387</v>
      </c>
      <c r="E2392" t="str">
        <f t="shared" si="375"/>
        <v>담화공</v>
      </c>
      <c r="H2392" t="str">
        <f t="shared" si="379"/>
        <v>스토리위즈</v>
      </c>
      <c r="I2392" t="str">
        <f t="shared" si="376"/>
        <v>디버프 마스터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200</v>
      </c>
      <c r="AL2392">
        <v>0</v>
      </c>
      <c r="AM2392">
        <v>0</v>
      </c>
      <c r="AN2392">
        <v>0</v>
      </c>
      <c r="AO2392">
        <v>0</v>
      </c>
      <c r="AP2392">
        <v>140</v>
      </c>
      <c r="AT2392" t="str">
        <f t="shared" si="377"/>
        <v>9791137602663</v>
      </c>
      <c r="AV2392" t="str">
        <f t="shared" si="378"/>
        <v>판타지 웹소설 &gt; 퓨전 판타지</v>
      </c>
    </row>
    <row r="2393" spans="1:48" x14ac:dyDescent="0.4">
      <c r="A2393">
        <v>2313012849</v>
      </c>
      <c r="B2393">
        <v>2313013236</v>
      </c>
      <c r="C2393" t="str">
        <f>T("디버프 마스터 388화")</f>
        <v>디버프 마스터 388화</v>
      </c>
      <c r="D2393" t="str">
        <f>T("388")</f>
        <v>388</v>
      </c>
      <c r="E2393" t="str">
        <f t="shared" si="375"/>
        <v>담화공</v>
      </c>
      <c r="H2393" t="str">
        <f t="shared" si="379"/>
        <v>스토리위즈</v>
      </c>
      <c r="I2393" t="str">
        <f t="shared" si="376"/>
        <v>디버프 마스터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200</v>
      </c>
      <c r="AL2393">
        <v>0</v>
      </c>
      <c r="AM2393">
        <v>0</v>
      </c>
      <c r="AN2393">
        <v>0</v>
      </c>
      <c r="AO2393">
        <v>0</v>
      </c>
      <c r="AP2393">
        <v>140</v>
      </c>
      <c r="AT2393" t="str">
        <f t="shared" si="377"/>
        <v>9791137602663</v>
      </c>
      <c r="AV2393" t="str">
        <f t="shared" si="378"/>
        <v>판타지 웹소설 &gt; 퓨전 판타지</v>
      </c>
    </row>
    <row r="2394" spans="1:48" x14ac:dyDescent="0.4">
      <c r="A2394">
        <v>2313012849</v>
      </c>
      <c r="B2394">
        <v>2313013237</v>
      </c>
      <c r="C2394" t="str">
        <f>T("디버프 마스터 389화")</f>
        <v>디버프 마스터 389화</v>
      </c>
      <c r="D2394" t="str">
        <f>T("389")</f>
        <v>389</v>
      </c>
      <c r="E2394" t="str">
        <f t="shared" si="375"/>
        <v>담화공</v>
      </c>
      <c r="H2394" t="str">
        <f t="shared" si="379"/>
        <v>스토리위즈</v>
      </c>
      <c r="I2394" t="str">
        <f t="shared" si="376"/>
        <v>디버프 마스터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200</v>
      </c>
      <c r="AL2394">
        <v>0</v>
      </c>
      <c r="AM2394">
        <v>0</v>
      </c>
      <c r="AN2394">
        <v>0</v>
      </c>
      <c r="AO2394">
        <v>0</v>
      </c>
      <c r="AP2394">
        <v>140</v>
      </c>
      <c r="AT2394" t="str">
        <f t="shared" si="377"/>
        <v>9791137602663</v>
      </c>
      <c r="AV2394" t="str">
        <f t="shared" si="378"/>
        <v>판타지 웹소설 &gt; 퓨전 판타지</v>
      </c>
    </row>
    <row r="2395" spans="1:48" x14ac:dyDescent="0.4">
      <c r="A2395">
        <v>2313012849</v>
      </c>
      <c r="B2395">
        <v>2313013238</v>
      </c>
      <c r="C2395" t="str">
        <f>T("디버프 마스터 390화")</f>
        <v>디버프 마스터 390화</v>
      </c>
      <c r="D2395" t="str">
        <f>T("390")</f>
        <v>390</v>
      </c>
      <c r="E2395" t="str">
        <f t="shared" si="375"/>
        <v>담화공</v>
      </c>
      <c r="H2395" t="str">
        <f t="shared" si="379"/>
        <v>스토리위즈</v>
      </c>
      <c r="I2395" t="str">
        <f t="shared" si="376"/>
        <v>디버프 마스터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200</v>
      </c>
      <c r="AL2395">
        <v>0</v>
      </c>
      <c r="AM2395">
        <v>0</v>
      </c>
      <c r="AN2395">
        <v>0</v>
      </c>
      <c r="AO2395">
        <v>0</v>
      </c>
      <c r="AP2395">
        <v>140</v>
      </c>
      <c r="AT2395" t="str">
        <f t="shared" si="377"/>
        <v>9791137602663</v>
      </c>
      <c r="AV2395" t="str">
        <f t="shared" si="378"/>
        <v>판타지 웹소설 &gt; 퓨전 판타지</v>
      </c>
    </row>
    <row r="2396" spans="1:48" x14ac:dyDescent="0.4">
      <c r="A2396">
        <v>2313012849</v>
      </c>
      <c r="B2396">
        <v>2313013239</v>
      </c>
      <c r="C2396" t="str">
        <f>T("디버프 마스터 391화")</f>
        <v>디버프 마스터 391화</v>
      </c>
      <c r="D2396" t="str">
        <f>T("391")</f>
        <v>391</v>
      </c>
      <c r="E2396" t="str">
        <f t="shared" si="375"/>
        <v>담화공</v>
      </c>
      <c r="H2396" t="str">
        <f t="shared" si="379"/>
        <v>스토리위즈</v>
      </c>
      <c r="I2396" t="str">
        <f t="shared" si="376"/>
        <v>디버프 마스터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200</v>
      </c>
      <c r="AL2396">
        <v>0</v>
      </c>
      <c r="AM2396">
        <v>0</v>
      </c>
      <c r="AN2396">
        <v>0</v>
      </c>
      <c r="AO2396">
        <v>0</v>
      </c>
      <c r="AP2396">
        <v>140</v>
      </c>
      <c r="AT2396" t="str">
        <f t="shared" si="377"/>
        <v>9791137602663</v>
      </c>
      <c r="AV2396" t="str">
        <f t="shared" si="378"/>
        <v>판타지 웹소설 &gt; 퓨전 판타지</v>
      </c>
    </row>
    <row r="2397" spans="1:48" x14ac:dyDescent="0.4">
      <c r="A2397">
        <v>2313012849</v>
      </c>
      <c r="B2397">
        <v>2313013240</v>
      </c>
      <c r="C2397" t="str">
        <f>T("디버프 마스터 392화")</f>
        <v>디버프 마스터 392화</v>
      </c>
      <c r="D2397" t="str">
        <f>T("392")</f>
        <v>392</v>
      </c>
      <c r="E2397" t="str">
        <f t="shared" ref="E2397:E2460" si="380">T("담화공")</f>
        <v>담화공</v>
      </c>
      <c r="H2397" t="str">
        <f t="shared" si="379"/>
        <v>스토리위즈</v>
      </c>
      <c r="I2397" t="str">
        <f t="shared" ref="I2397:I2460" si="381">T("디버프 마스터")</f>
        <v>디버프 마스터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200</v>
      </c>
      <c r="AL2397">
        <v>0</v>
      </c>
      <c r="AM2397">
        <v>0</v>
      </c>
      <c r="AN2397">
        <v>0</v>
      </c>
      <c r="AO2397">
        <v>0</v>
      </c>
      <c r="AP2397">
        <v>140</v>
      </c>
      <c r="AT2397" t="str">
        <f t="shared" ref="AT2397:AT2460" si="382">T("9791137602663")</f>
        <v>9791137602663</v>
      </c>
      <c r="AV2397" t="str">
        <f t="shared" ref="AV2397:AV2460" si="383">T("판타지 웹소설 &gt; 퓨전 판타지")</f>
        <v>판타지 웹소설 &gt; 퓨전 판타지</v>
      </c>
    </row>
    <row r="2398" spans="1:48" x14ac:dyDescent="0.4">
      <c r="A2398">
        <v>2313012849</v>
      </c>
      <c r="B2398">
        <v>2313013241</v>
      </c>
      <c r="C2398" t="str">
        <f>T("디버프 마스터 393화")</f>
        <v>디버프 마스터 393화</v>
      </c>
      <c r="D2398" t="str">
        <f>T("393")</f>
        <v>393</v>
      </c>
      <c r="E2398" t="str">
        <f t="shared" si="380"/>
        <v>담화공</v>
      </c>
      <c r="H2398" t="str">
        <f t="shared" si="379"/>
        <v>스토리위즈</v>
      </c>
      <c r="I2398" t="str">
        <f t="shared" si="381"/>
        <v>디버프 마스터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200</v>
      </c>
      <c r="AL2398">
        <v>0</v>
      </c>
      <c r="AM2398">
        <v>0</v>
      </c>
      <c r="AN2398">
        <v>0</v>
      </c>
      <c r="AO2398">
        <v>0</v>
      </c>
      <c r="AP2398">
        <v>140</v>
      </c>
      <c r="AT2398" t="str">
        <f t="shared" si="382"/>
        <v>9791137602663</v>
      </c>
      <c r="AV2398" t="str">
        <f t="shared" si="383"/>
        <v>판타지 웹소설 &gt; 퓨전 판타지</v>
      </c>
    </row>
    <row r="2399" spans="1:48" x14ac:dyDescent="0.4">
      <c r="A2399">
        <v>2313012849</v>
      </c>
      <c r="B2399">
        <v>2313013242</v>
      </c>
      <c r="C2399" t="str">
        <f>T("디버프 마스터 394화")</f>
        <v>디버프 마스터 394화</v>
      </c>
      <c r="D2399" t="str">
        <f>T("394")</f>
        <v>394</v>
      </c>
      <c r="E2399" t="str">
        <f t="shared" si="380"/>
        <v>담화공</v>
      </c>
      <c r="H2399" t="str">
        <f t="shared" si="379"/>
        <v>스토리위즈</v>
      </c>
      <c r="I2399" t="str">
        <f t="shared" si="381"/>
        <v>디버프 마스터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200</v>
      </c>
      <c r="AL2399">
        <v>0</v>
      </c>
      <c r="AM2399">
        <v>0</v>
      </c>
      <c r="AN2399">
        <v>0</v>
      </c>
      <c r="AO2399">
        <v>0</v>
      </c>
      <c r="AP2399">
        <v>140</v>
      </c>
      <c r="AT2399" t="str">
        <f t="shared" si="382"/>
        <v>9791137602663</v>
      </c>
      <c r="AV2399" t="str">
        <f t="shared" si="383"/>
        <v>판타지 웹소설 &gt; 퓨전 판타지</v>
      </c>
    </row>
    <row r="2400" spans="1:48" x14ac:dyDescent="0.4">
      <c r="A2400">
        <v>2313012849</v>
      </c>
      <c r="B2400">
        <v>2313013243</v>
      </c>
      <c r="C2400" t="str">
        <f>T("디버프 마스터 395화")</f>
        <v>디버프 마스터 395화</v>
      </c>
      <c r="D2400" t="str">
        <f>T("395")</f>
        <v>395</v>
      </c>
      <c r="E2400" t="str">
        <f t="shared" si="380"/>
        <v>담화공</v>
      </c>
      <c r="H2400" t="str">
        <f t="shared" si="379"/>
        <v>스토리위즈</v>
      </c>
      <c r="I2400" t="str">
        <f t="shared" si="381"/>
        <v>디버프 마스터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200</v>
      </c>
      <c r="AL2400">
        <v>0</v>
      </c>
      <c r="AM2400">
        <v>0</v>
      </c>
      <c r="AN2400">
        <v>0</v>
      </c>
      <c r="AO2400">
        <v>0</v>
      </c>
      <c r="AP2400">
        <v>140</v>
      </c>
      <c r="AT2400" t="str">
        <f t="shared" si="382"/>
        <v>9791137602663</v>
      </c>
      <c r="AV2400" t="str">
        <f t="shared" si="383"/>
        <v>판타지 웹소설 &gt; 퓨전 판타지</v>
      </c>
    </row>
    <row r="2401" spans="1:48" x14ac:dyDescent="0.4">
      <c r="A2401">
        <v>2313012849</v>
      </c>
      <c r="B2401">
        <v>2313013244</v>
      </c>
      <c r="C2401" t="str">
        <f>T("디버프 마스터 396화")</f>
        <v>디버프 마스터 396화</v>
      </c>
      <c r="D2401" t="str">
        <f>T("396")</f>
        <v>396</v>
      </c>
      <c r="E2401" t="str">
        <f t="shared" si="380"/>
        <v>담화공</v>
      </c>
      <c r="H2401" t="str">
        <f t="shared" si="379"/>
        <v>스토리위즈</v>
      </c>
      <c r="I2401" t="str">
        <f t="shared" si="381"/>
        <v>디버프 마스터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200</v>
      </c>
      <c r="AL2401">
        <v>0</v>
      </c>
      <c r="AM2401">
        <v>0</v>
      </c>
      <c r="AN2401">
        <v>0</v>
      </c>
      <c r="AO2401">
        <v>0</v>
      </c>
      <c r="AP2401">
        <v>140</v>
      </c>
      <c r="AT2401" t="str">
        <f t="shared" si="382"/>
        <v>9791137602663</v>
      </c>
      <c r="AV2401" t="str">
        <f t="shared" si="383"/>
        <v>판타지 웹소설 &gt; 퓨전 판타지</v>
      </c>
    </row>
    <row r="2402" spans="1:48" x14ac:dyDescent="0.4">
      <c r="A2402">
        <v>2313012849</v>
      </c>
      <c r="B2402">
        <v>2313013245</v>
      </c>
      <c r="C2402" t="str">
        <f>T("디버프 마스터 397화")</f>
        <v>디버프 마스터 397화</v>
      </c>
      <c r="D2402" t="str">
        <f>T("397")</f>
        <v>397</v>
      </c>
      <c r="E2402" t="str">
        <f t="shared" si="380"/>
        <v>담화공</v>
      </c>
      <c r="H2402" t="str">
        <f t="shared" si="379"/>
        <v>스토리위즈</v>
      </c>
      <c r="I2402" t="str">
        <f t="shared" si="381"/>
        <v>디버프 마스터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200</v>
      </c>
      <c r="AL2402">
        <v>0</v>
      </c>
      <c r="AM2402">
        <v>0</v>
      </c>
      <c r="AN2402">
        <v>0</v>
      </c>
      <c r="AO2402">
        <v>0</v>
      </c>
      <c r="AP2402">
        <v>140</v>
      </c>
      <c r="AT2402" t="str">
        <f t="shared" si="382"/>
        <v>9791137602663</v>
      </c>
      <c r="AV2402" t="str">
        <f t="shared" si="383"/>
        <v>판타지 웹소설 &gt; 퓨전 판타지</v>
      </c>
    </row>
    <row r="2403" spans="1:48" x14ac:dyDescent="0.4">
      <c r="A2403">
        <v>2313012849</v>
      </c>
      <c r="B2403">
        <v>2313013246</v>
      </c>
      <c r="C2403" t="str">
        <f>T("디버프 마스터 398화")</f>
        <v>디버프 마스터 398화</v>
      </c>
      <c r="D2403" t="str">
        <f>T("398")</f>
        <v>398</v>
      </c>
      <c r="E2403" t="str">
        <f t="shared" si="380"/>
        <v>담화공</v>
      </c>
      <c r="H2403" t="str">
        <f t="shared" ref="H2403:H2466" si="384">T("스토리위즈")</f>
        <v>스토리위즈</v>
      </c>
      <c r="I2403" t="str">
        <f t="shared" si="381"/>
        <v>디버프 마스터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200</v>
      </c>
      <c r="AL2403">
        <v>0</v>
      </c>
      <c r="AM2403">
        <v>0</v>
      </c>
      <c r="AN2403">
        <v>0</v>
      </c>
      <c r="AO2403">
        <v>0</v>
      </c>
      <c r="AP2403">
        <v>140</v>
      </c>
      <c r="AT2403" t="str">
        <f t="shared" si="382"/>
        <v>9791137602663</v>
      </c>
      <c r="AV2403" t="str">
        <f t="shared" si="383"/>
        <v>판타지 웹소설 &gt; 퓨전 판타지</v>
      </c>
    </row>
    <row r="2404" spans="1:48" x14ac:dyDescent="0.4">
      <c r="A2404">
        <v>2313012849</v>
      </c>
      <c r="B2404">
        <v>2313013247</v>
      </c>
      <c r="C2404" t="str">
        <f>T("디버프 마스터 399화")</f>
        <v>디버프 마스터 399화</v>
      </c>
      <c r="D2404" t="str">
        <f>T("399")</f>
        <v>399</v>
      </c>
      <c r="E2404" t="str">
        <f t="shared" si="380"/>
        <v>담화공</v>
      </c>
      <c r="H2404" t="str">
        <f t="shared" si="384"/>
        <v>스토리위즈</v>
      </c>
      <c r="I2404" t="str">
        <f t="shared" si="381"/>
        <v>디버프 마스터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200</v>
      </c>
      <c r="AL2404">
        <v>0</v>
      </c>
      <c r="AM2404">
        <v>0</v>
      </c>
      <c r="AN2404">
        <v>0</v>
      </c>
      <c r="AO2404">
        <v>0</v>
      </c>
      <c r="AP2404">
        <v>140</v>
      </c>
      <c r="AT2404" t="str">
        <f t="shared" si="382"/>
        <v>9791137602663</v>
      </c>
      <c r="AV2404" t="str">
        <f t="shared" si="383"/>
        <v>판타지 웹소설 &gt; 퓨전 판타지</v>
      </c>
    </row>
    <row r="2405" spans="1:48" x14ac:dyDescent="0.4">
      <c r="A2405">
        <v>2313012849</v>
      </c>
      <c r="B2405">
        <v>2313013248</v>
      </c>
      <c r="C2405" t="str">
        <f>T("디버프 마스터 400화")</f>
        <v>디버프 마스터 400화</v>
      </c>
      <c r="D2405" t="str">
        <f>T("400")</f>
        <v>400</v>
      </c>
      <c r="E2405" t="str">
        <f t="shared" si="380"/>
        <v>담화공</v>
      </c>
      <c r="H2405" t="str">
        <f t="shared" si="384"/>
        <v>스토리위즈</v>
      </c>
      <c r="I2405" t="str">
        <f t="shared" si="381"/>
        <v>디버프 마스터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200</v>
      </c>
      <c r="AL2405">
        <v>0</v>
      </c>
      <c r="AM2405">
        <v>0</v>
      </c>
      <c r="AN2405">
        <v>0</v>
      </c>
      <c r="AO2405">
        <v>0</v>
      </c>
      <c r="AP2405">
        <v>140</v>
      </c>
      <c r="AT2405" t="str">
        <f t="shared" si="382"/>
        <v>9791137602663</v>
      </c>
      <c r="AV2405" t="str">
        <f t="shared" si="383"/>
        <v>판타지 웹소설 &gt; 퓨전 판타지</v>
      </c>
    </row>
    <row r="2406" spans="1:48" x14ac:dyDescent="0.4">
      <c r="A2406">
        <v>2313012849</v>
      </c>
      <c r="B2406">
        <v>2313013249</v>
      </c>
      <c r="C2406" t="str">
        <f>T("디버프 마스터 401화")</f>
        <v>디버프 마스터 401화</v>
      </c>
      <c r="D2406" t="str">
        <f>T("401")</f>
        <v>401</v>
      </c>
      <c r="E2406" t="str">
        <f t="shared" si="380"/>
        <v>담화공</v>
      </c>
      <c r="H2406" t="str">
        <f t="shared" si="384"/>
        <v>스토리위즈</v>
      </c>
      <c r="I2406" t="str">
        <f t="shared" si="381"/>
        <v>디버프 마스터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200</v>
      </c>
      <c r="AL2406">
        <v>0</v>
      </c>
      <c r="AM2406">
        <v>0</v>
      </c>
      <c r="AN2406">
        <v>0</v>
      </c>
      <c r="AO2406">
        <v>0</v>
      </c>
      <c r="AP2406">
        <v>140</v>
      </c>
      <c r="AT2406" t="str">
        <f t="shared" si="382"/>
        <v>9791137602663</v>
      </c>
      <c r="AV2406" t="str">
        <f t="shared" si="383"/>
        <v>판타지 웹소설 &gt; 퓨전 판타지</v>
      </c>
    </row>
    <row r="2407" spans="1:48" x14ac:dyDescent="0.4">
      <c r="A2407">
        <v>2313012849</v>
      </c>
      <c r="B2407">
        <v>2313013250</v>
      </c>
      <c r="C2407" t="str">
        <f>T("디버프 마스터 402화")</f>
        <v>디버프 마스터 402화</v>
      </c>
      <c r="D2407" t="str">
        <f>T("402")</f>
        <v>402</v>
      </c>
      <c r="E2407" t="str">
        <f t="shared" si="380"/>
        <v>담화공</v>
      </c>
      <c r="H2407" t="str">
        <f t="shared" si="384"/>
        <v>스토리위즈</v>
      </c>
      <c r="I2407" t="str">
        <f t="shared" si="381"/>
        <v>디버프 마스터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200</v>
      </c>
      <c r="AL2407">
        <v>0</v>
      </c>
      <c r="AM2407">
        <v>0</v>
      </c>
      <c r="AN2407">
        <v>0</v>
      </c>
      <c r="AO2407">
        <v>0</v>
      </c>
      <c r="AP2407">
        <v>140</v>
      </c>
      <c r="AT2407" t="str">
        <f t="shared" si="382"/>
        <v>9791137602663</v>
      </c>
      <c r="AV2407" t="str">
        <f t="shared" si="383"/>
        <v>판타지 웹소설 &gt; 퓨전 판타지</v>
      </c>
    </row>
    <row r="2408" spans="1:48" x14ac:dyDescent="0.4">
      <c r="A2408">
        <v>2313012849</v>
      </c>
      <c r="B2408">
        <v>2313013251</v>
      </c>
      <c r="C2408" t="str">
        <f>T("디버프 마스터 403화")</f>
        <v>디버프 마스터 403화</v>
      </c>
      <c r="D2408" t="str">
        <f>T("403")</f>
        <v>403</v>
      </c>
      <c r="E2408" t="str">
        <f t="shared" si="380"/>
        <v>담화공</v>
      </c>
      <c r="H2408" t="str">
        <f t="shared" si="384"/>
        <v>스토리위즈</v>
      </c>
      <c r="I2408" t="str">
        <f t="shared" si="381"/>
        <v>디버프 마스터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200</v>
      </c>
      <c r="AL2408">
        <v>0</v>
      </c>
      <c r="AM2408">
        <v>0</v>
      </c>
      <c r="AN2408">
        <v>0</v>
      </c>
      <c r="AO2408">
        <v>0</v>
      </c>
      <c r="AP2408">
        <v>140</v>
      </c>
      <c r="AT2408" t="str">
        <f t="shared" si="382"/>
        <v>9791137602663</v>
      </c>
      <c r="AV2408" t="str">
        <f t="shared" si="383"/>
        <v>판타지 웹소설 &gt; 퓨전 판타지</v>
      </c>
    </row>
    <row r="2409" spans="1:48" x14ac:dyDescent="0.4">
      <c r="A2409">
        <v>2313012849</v>
      </c>
      <c r="B2409">
        <v>2313013252</v>
      </c>
      <c r="C2409" t="str">
        <f>T("디버프 마스터 404화")</f>
        <v>디버프 마스터 404화</v>
      </c>
      <c r="D2409" t="str">
        <f>T("404")</f>
        <v>404</v>
      </c>
      <c r="E2409" t="str">
        <f t="shared" si="380"/>
        <v>담화공</v>
      </c>
      <c r="H2409" t="str">
        <f t="shared" si="384"/>
        <v>스토리위즈</v>
      </c>
      <c r="I2409" t="str">
        <f t="shared" si="381"/>
        <v>디버프 마스터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200</v>
      </c>
      <c r="AL2409">
        <v>0</v>
      </c>
      <c r="AM2409">
        <v>0</v>
      </c>
      <c r="AN2409">
        <v>0</v>
      </c>
      <c r="AO2409">
        <v>0</v>
      </c>
      <c r="AP2409">
        <v>140</v>
      </c>
      <c r="AT2409" t="str">
        <f t="shared" si="382"/>
        <v>9791137602663</v>
      </c>
      <c r="AV2409" t="str">
        <f t="shared" si="383"/>
        <v>판타지 웹소설 &gt; 퓨전 판타지</v>
      </c>
    </row>
    <row r="2410" spans="1:48" x14ac:dyDescent="0.4">
      <c r="A2410">
        <v>2313012849</v>
      </c>
      <c r="B2410">
        <v>2313013253</v>
      </c>
      <c r="C2410" t="str">
        <f>T("디버프 마스터 405화")</f>
        <v>디버프 마스터 405화</v>
      </c>
      <c r="D2410" t="str">
        <f>T("405")</f>
        <v>405</v>
      </c>
      <c r="E2410" t="str">
        <f t="shared" si="380"/>
        <v>담화공</v>
      </c>
      <c r="H2410" t="str">
        <f t="shared" si="384"/>
        <v>스토리위즈</v>
      </c>
      <c r="I2410" t="str">
        <f t="shared" si="381"/>
        <v>디버프 마스터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200</v>
      </c>
      <c r="AL2410">
        <v>0</v>
      </c>
      <c r="AM2410">
        <v>0</v>
      </c>
      <c r="AN2410">
        <v>0</v>
      </c>
      <c r="AO2410">
        <v>0</v>
      </c>
      <c r="AP2410">
        <v>140</v>
      </c>
      <c r="AT2410" t="str">
        <f t="shared" si="382"/>
        <v>9791137602663</v>
      </c>
      <c r="AV2410" t="str">
        <f t="shared" si="383"/>
        <v>판타지 웹소설 &gt; 퓨전 판타지</v>
      </c>
    </row>
    <row r="2411" spans="1:48" x14ac:dyDescent="0.4">
      <c r="A2411">
        <v>2313012849</v>
      </c>
      <c r="B2411">
        <v>2313013254</v>
      </c>
      <c r="C2411" t="str">
        <f>T("디버프 마스터 406화")</f>
        <v>디버프 마스터 406화</v>
      </c>
      <c r="D2411" t="str">
        <f>T("406")</f>
        <v>406</v>
      </c>
      <c r="E2411" t="str">
        <f t="shared" si="380"/>
        <v>담화공</v>
      </c>
      <c r="H2411" t="str">
        <f t="shared" si="384"/>
        <v>스토리위즈</v>
      </c>
      <c r="I2411" t="str">
        <f t="shared" si="381"/>
        <v>디버프 마스터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200</v>
      </c>
      <c r="AL2411">
        <v>0</v>
      </c>
      <c r="AM2411">
        <v>0</v>
      </c>
      <c r="AN2411">
        <v>0</v>
      </c>
      <c r="AO2411">
        <v>0</v>
      </c>
      <c r="AP2411">
        <v>140</v>
      </c>
      <c r="AT2411" t="str">
        <f t="shared" si="382"/>
        <v>9791137602663</v>
      </c>
      <c r="AV2411" t="str">
        <f t="shared" si="383"/>
        <v>판타지 웹소설 &gt; 퓨전 판타지</v>
      </c>
    </row>
    <row r="2412" spans="1:48" x14ac:dyDescent="0.4">
      <c r="A2412">
        <v>2313012849</v>
      </c>
      <c r="B2412">
        <v>2313013255</v>
      </c>
      <c r="C2412" t="str">
        <f>T("디버프 마스터 407화")</f>
        <v>디버프 마스터 407화</v>
      </c>
      <c r="D2412" t="str">
        <f>T("407")</f>
        <v>407</v>
      </c>
      <c r="E2412" t="str">
        <f t="shared" si="380"/>
        <v>담화공</v>
      </c>
      <c r="H2412" t="str">
        <f t="shared" si="384"/>
        <v>스토리위즈</v>
      </c>
      <c r="I2412" t="str">
        <f t="shared" si="381"/>
        <v>디버프 마스터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200</v>
      </c>
      <c r="AL2412">
        <v>0</v>
      </c>
      <c r="AM2412">
        <v>0</v>
      </c>
      <c r="AN2412">
        <v>0</v>
      </c>
      <c r="AO2412">
        <v>0</v>
      </c>
      <c r="AP2412">
        <v>140</v>
      </c>
      <c r="AT2412" t="str">
        <f t="shared" si="382"/>
        <v>9791137602663</v>
      </c>
      <c r="AV2412" t="str">
        <f t="shared" si="383"/>
        <v>판타지 웹소설 &gt; 퓨전 판타지</v>
      </c>
    </row>
    <row r="2413" spans="1:48" x14ac:dyDescent="0.4">
      <c r="A2413">
        <v>2313012849</v>
      </c>
      <c r="B2413">
        <v>2313013256</v>
      </c>
      <c r="C2413" t="str">
        <f>T("디버프 마스터 408화")</f>
        <v>디버프 마스터 408화</v>
      </c>
      <c r="D2413" t="str">
        <f>T("408")</f>
        <v>408</v>
      </c>
      <c r="E2413" t="str">
        <f t="shared" si="380"/>
        <v>담화공</v>
      </c>
      <c r="H2413" t="str">
        <f t="shared" si="384"/>
        <v>스토리위즈</v>
      </c>
      <c r="I2413" t="str">
        <f t="shared" si="381"/>
        <v>디버프 마스터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200</v>
      </c>
      <c r="AL2413">
        <v>0</v>
      </c>
      <c r="AM2413">
        <v>0</v>
      </c>
      <c r="AN2413">
        <v>0</v>
      </c>
      <c r="AO2413">
        <v>0</v>
      </c>
      <c r="AP2413">
        <v>140</v>
      </c>
      <c r="AT2413" t="str">
        <f t="shared" si="382"/>
        <v>9791137602663</v>
      </c>
      <c r="AV2413" t="str">
        <f t="shared" si="383"/>
        <v>판타지 웹소설 &gt; 퓨전 판타지</v>
      </c>
    </row>
    <row r="2414" spans="1:48" x14ac:dyDescent="0.4">
      <c r="A2414">
        <v>2313012849</v>
      </c>
      <c r="B2414">
        <v>2313013257</v>
      </c>
      <c r="C2414" t="str">
        <f>T("디버프 마스터 409화")</f>
        <v>디버프 마스터 409화</v>
      </c>
      <c r="D2414" t="str">
        <f>T("409")</f>
        <v>409</v>
      </c>
      <c r="E2414" t="str">
        <f t="shared" si="380"/>
        <v>담화공</v>
      </c>
      <c r="H2414" t="str">
        <f t="shared" si="384"/>
        <v>스토리위즈</v>
      </c>
      <c r="I2414" t="str">
        <f t="shared" si="381"/>
        <v>디버프 마스터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200</v>
      </c>
      <c r="AL2414">
        <v>0</v>
      </c>
      <c r="AM2414">
        <v>0</v>
      </c>
      <c r="AN2414">
        <v>0</v>
      </c>
      <c r="AO2414">
        <v>0</v>
      </c>
      <c r="AP2414">
        <v>140</v>
      </c>
      <c r="AT2414" t="str">
        <f t="shared" si="382"/>
        <v>9791137602663</v>
      </c>
      <c r="AV2414" t="str">
        <f t="shared" si="383"/>
        <v>판타지 웹소설 &gt; 퓨전 판타지</v>
      </c>
    </row>
    <row r="2415" spans="1:48" x14ac:dyDescent="0.4">
      <c r="A2415">
        <v>2313012849</v>
      </c>
      <c r="B2415">
        <v>2313013258</v>
      </c>
      <c r="C2415" t="str">
        <f>T("디버프 마스터 410화")</f>
        <v>디버프 마스터 410화</v>
      </c>
      <c r="D2415" t="str">
        <f>T("410")</f>
        <v>410</v>
      </c>
      <c r="E2415" t="str">
        <f t="shared" si="380"/>
        <v>담화공</v>
      </c>
      <c r="H2415" t="str">
        <f t="shared" si="384"/>
        <v>스토리위즈</v>
      </c>
      <c r="I2415" t="str">
        <f t="shared" si="381"/>
        <v>디버프 마스터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200</v>
      </c>
      <c r="AL2415">
        <v>0</v>
      </c>
      <c r="AM2415">
        <v>0</v>
      </c>
      <c r="AN2415">
        <v>0</v>
      </c>
      <c r="AO2415">
        <v>0</v>
      </c>
      <c r="AP2415">
        <v>140</v>
      </c>
      <c r="AT2415" t="str">
        <f t="shared" si="382"/>
        <v>9791137602663</v>
      </c>
      <c r="AV2415" t="str">
        <f t="shared" si="383"/>
        <v>판타지 웹소설 &gt; 퓨전 판타지</v>
      </c>
    </row>
    <row r="2416" spans="1:48" x14ac:dyDescent="0.4">
      <c r="A2416">
        <v>2313012849</v>
      </c>
      <c r="B2416">
        <v>2313013259</v>
      </c>
      <c r="C2416" t="str">
        <f>T("디버프 마스터 411화")</f>
        <v>디버프 마스터 411화</v>
      </c>
      <c r="D2416" t="str">
        <f>T("411")</f>
        <v>411</v>
      </c>
      <c r="E2416" t="str">
        <f t="shared" si="380"/>
        <v>담화공</v>
      </c>
      <c r="H2416" t="str">
        <f t="shared" si="384"/>
        <v>스토리위즈</v>
      </c>
      <c r="I2416" t="str">
        <f t="shared" si="381"/>
        <v>디버프 마스터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200</v>
      </c>
      <c r="AL2416">
        <v>0</v>
      </c>
      <c r="AM2416">
        <v>0</v>
      </c>
      <c r="AN2416">
        <v>0</v>
      </c>
      <c r="AO2416">
        <v>0</v>
      </c>
      <c r="AP2416">
        <v>140</v>
      </c>
      <c r="AT2416" t="str">
        <f t="shared" si="382"/>
        <v>9791137602663</v>
      </c>
      <c r="AV2416" t="str">
        <f t="shared" si="383"/>
        <v>판타지 웹소설 &gt; 퓨전 판타지</v>
      </c>
    </row>
    <row r="2417" spans="1:48" x14ac:dyDescent="0.4">
      <c r="A2417">
        <v>2313012849</v>
      </c>
      <c r="B2417">
        <v>2313013260</v>
      </c>
      <c r="C2417" t="str">
        <f>T("디버프 마스터 412화")</f>
        <v>디버프 마스터 412화</v>
      </c>
      <c r="D2417" t="str">
        <f>T("412")</f>
        <v>412</v>
      </c>
      <c r="E2417" t="str">
        <f t="shared" si="380"/>
        <v>담화공</v>
      </c>
      <c r="H2417" t="str">
        <f t="shared" si="384"/>
        <v>스토리위즈</v>
      </c>
      <c r="I2417" t="str">
        <f t="shared" si="381"/>
        <v>디버프 마스터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200</v>
      </c>
      <c r="AL2417">
        <v>0</v>
      </c>
      <c r="AM2417">
        <v>0</v>
      </c>
      <c r="AN2417">
        <v>0</v>
      </c>
      <c r="AO2417">
        <v>0</v>
      </c>
      <c r="AP2417">
        <v>140</v>
      </c>
      <c r="AT2417" t="str">
        <f t="shared" si="382"/>
        <v>9791137602663</v>
      </c>
      <c r="AV2417" t="str">
        <f t="shared" si="383"/>
        <v>판타지 웹소설 &gt; 퓨전 판타지</v>
      </c>
    </row>
    <row r="2418" spans="1:48" x14ac:dyDescent="0.4">
      <c r="A2418">
        <v>2313012849</v>
      </c>
      <c r="B2418">
        <v>2313013261</v>
      </c>
      <c r="C2418" t="str">
        <f>T("디버프 마스터 413화")</f>
        <v>디버프 마스터 413화</v>
      </c>
      <c r="D2418" t="str">
        <f>T("413")</f>
        <v>413</v>
      </c>
      <c r="E2418" t="str">
        <f t="shared" si="380"/>
        <v>담화공</v>
      </c>
      <c r="H2418" t="str">
        <f t="shared" si="384"/>
        <v>스토리위즈</v>
      </c>
      <c r="I2418" t="str">
        <f t="shared" si="381"/>
        <v>디버프 마스터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200</v>
      </c>
      <c r="AL2418">
        <v>0</v>
      </c>
      <c r="AM2418">
        <v>0</v>
      </c>
      <c r="AN2418">
        <v>0</v>
      </c>
      <c r="AO2418">
        <v>0</v>
      </c>
      <c r="AP2418">
        <v>140</v>
      </c>
      <c r="AT2418" t="str">
        <f t="shared" si="382"/>
        <v>9791137602663</v>
      </c>
      <c r="AV2418" t="str">
        <f t="shared" si="383"/>
        <v>판타지 웹소설 &gt; 퓨전 판타지</v>
      </c>
    </row>
    <row r="2419" spans="1:48" x14ac:dyDescent="0.4">
      <c r="A2419">
        <v>2313012849</v>
      </c>
      <c r="B2419">
        <v>2313013262</v>
      </c>
      <c r="C2419" t="str">
        <f>T("디버프 마스터 414화")</f>
        <v>디버프 마스터 414화</v>
      </c>
      <c r="D2419" t="str">
        <f>T("414")</f>
        <v>414</v>
      </c>
      <c r="E2419" t="str">
        <f t="shared" si="380"/>
        <v>담화공</v>
      </c>
      <c r="H2419" t="str">
        <f t="shared" si="384"/>
        <v>스토리위즈</v>
      </c>
      <c r="I2419" t="str">
        <f t="shared" si="381"/>
        <v>디버프 마스터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200</v>
      </c>
      <c r="AL2419">
        <v>0</v>
      </c>
      <c r="AM2419">
        <v>0</v>
      </c>
      <c r="AN2419">
        <v>0</v>
      </c>
      <c r="AO2419">
        <v>0</v>
      </c>
      <c r="AP2419">
        <v>140</v>
      </c>
      <c r="AT2419" t="str">
        <f t="shared" si="382"/>
        <v>9791137602663</v>
      </c>
      <c r="AV2419" t="str">
        <f t="shared" si="383"/>
        <v>판타지 웹소설 &gt; 퓨전 판타지</v>
      </c>
    </row>
    <row r="2420" spans="1:48" x14ac:dyDescent="0.4">
      <c r="A2420">
        <v>2313012849</v>
      </c>
      <c r="B2420">
        <v>2313013263</v>
      </c>
      <c r="C2420" t="str">
        <f>T("디버프 마스터 415화")</f>
        <v>디버프 마스터 415화</v>
      </c>
      <c r="D2420" t="str">
        <f>T("415")</f>
        <v>415</v>
      </c>
      <c r="E2420" t="str">
        <f t="shared" si="380"/>
        <v>담화공</v>
      </c>
      <c r="H2420" t="str">
        <f t="shared" si="384"/>
        <v>스토리위즈</v>
      </c>
      <c r="I2420" t="str">
        <f t="shared" si="381"/>
        <v>디버프 마스터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200</v>
      </c>
      <c r="AL2420">
        <v>0</v>
      </c>
      <c r="AM2420">
        <v>0</v>
      </c>
      <c r="AN2420">
        <v>0</v>
      </c>
      <c r="AO2420">
        <v>0</v>
      </c>
      <c r="AP2420">
        <v>140</v>
      </c>
      <c r="AT2420" t="str">
        <f t="shared" si="382"/>
        <v>9791137602663</v>
      </c>
      <c r="AV2420" t="str">
        <f t="shared" si="383"/>
        <v>판타지 웹소설 &gt; 퓨전 판타지</v>
      </c>
    </row>
    <row r="2421" spans="1:48" x14ac:dyDescent="0.4">
      <c r="A2421">
        <v>2313012849</v>
      </c>
      <c r="B2421">
        <v>2313013264</v>
      </c>
      <c r="C2421" t="str">
        <f>T("디버프 마스터 416화")</f>
        <v>디버프 마스터 416화</v>
      </c>
      <c r="D2421" t="str">
        <f>T("416")</f>
        <v>416</v>
      </c>
      <c r="E2421" t="str">
        <f t="shared" si="380"/>
        <v>담화공</v>
      </c>
      <c r="H2421" t="str">
        <f t="shared" si="384"/>
        <v>스토리위즈</v>
      </c>
      <c r="I2421" t="str">
        <f t="shared" si="381"/>
        <v>디버프 마스터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200</v>
      </c>
      <c r="AL2421">
        <v>0</v>
      </c>
      <c r="AM2421">
        <v>0</v>
      </c>
      <c r="AN2421">
        <v>0</v>
      </c>
      <c r="AO2421">
        <v>0</v>
      </c>
      <c r="AP2421">
        <v>140</v>
      </c>
      <c r="AT2421" t="str">
        <f t="shared" si="382"/>
        <v>9791137602663</v>
      </c>
      <c r="AV2421" t="str">
        <f t="shared" si="383"/>
        <v>판타지 웹소설 &gt; 퓨전 판타지</v>
      </c>
    </row>
    <row r="2422" spans="1:48" x14ac:dyDescent="0.4">
      <c r="A2422">
        <v>2313012849</v>
      </c>
      <c r="B2422">
        <v>2313013265</v>
      </c>
      <c r="C2422" t="str">
        <f>T("디버프 마스터 417화")</f>
        <v>디버프 마스터 417화</v>
      </c>
      <c r="D2422" t="str">
        <f>T("417")</f>
        <v>417</v>
      </c>
      <c r="E2422" t="str">
        <f t="shared" si="380"/>
        <v>담화공</v>
      </c>
      <c r="H2422" t="str">
        <f t="shared" si="384"/>
        <v>스토리위즈</v>
      </c>
      <c r="I2422" t="str">
        <f t="shared" si="381"/>
        <v>디버프 마스터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200</v>
      </c>
      <c r="AL2422">
        <v>0</v>
      </c>
      <c r="AM2422">
        <v>0</v>
      </c>
      <c r="AN2422">
        <v>0</v>
      </c>
      <c r="AO2422">
        <v>0</v>
      </c>
      <c r="AP2422">
        <v>140</v>
      </c>
      <c r="AT2422" t="str">
        <f t="shared" si="382"/>
        <v>9791137602663</v>
      </c>
      <c r="AV2422" t="str">
        <f t="shared" si="383"/>
        <v>판타지 웹소설 &gt; 퓨전 판타지</v>
      </c>
    </row>
    <row r="2423" spans="1:48" x14ac:dyDescent="0.4">
      <c r="A2423">
        <v>2313012849</v>
      </c>
      <c r="B2423">
        <v>2313013266</v>
      </c>
      <c r="C2423" t="str">
        <f>T("디버프 마스터 418화")</f>
        <v>디버프 마스터 418화</v>
      </c>
      <c r="D2423" t="str">
        <f>T("418")</f>
        <v>418</v>
      </c>
      <c r="E2423" t="str">
        <f t="shared" si="380"/>
        <v>담화공</v>
      </c>
      <c r="H2423" t="str">
        <f t="shared" si="384"/>
        <v>스토리위즈</v>
      </c>
      <c r="I2423" t="str">
        <f t="shared" si="381"/>
        <v>디버프 마스터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200</v>
      </c>
      <c r="AL2423">
        <v>0</v>
      </c>
      <c r="AM2423">
        <v>0</v>
      </c>
      <c r="AN2423">
        <v>0</v>
      </c>
      <c r="AO2423">
        <v>0</v>
      </c>
      <c r="AP2423">
        <v>140</v>
      </c>
      <c r="AT2423" t="str">
        <f t="shared" si="382"/>
        <v>9791137602663</v>
      </c>
      <c r="AV2423" t="str">
        <f t="shared" si="383"/>
        <v>판타지 웹소설 &gt; 퓨전 판타지</v>
      </c>
    </row>
    <row r="2424" spans="1:48" x14ac:dyDescent="0.4">
      <c r="A2424">
        <v>2313012849</v>
      </c>
      <c r="B2424">
        <v>2313013267</v>
      </c>
      <c r="C2424" t="str">
        <f>T("디버프 마스터 419화")</f>
        <v>디버프 마스터 419화</v>
      </c>
      <c r="D2424" t="str">
        <f>T("419")</f>
        <v>419</v>
      </c>
      <c r="E2424" t="str">
        <f t="shared" si="380"/>
        <v>담화공</v>
      </c>
      <c r="H2424" t="str">
        <f t="shared" si="384"/>
        <v>스토리위즈</v>
      </c>
      <c r="I2424" t="str">
        <f t="shared" si="381"/>
        <v>디버프 마스터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200</v>
      </c>
      <c r="AL2424">
        <v>0</v>
      </c>
      <c r="AM2424">
        <v>0</v>
      </c>
      <c r="AN2424">
        <v>0</v>
      </c>
      <c r="AO2424">
        <v>0</v>
      </c>
      <c r="AP2424">
        <v>140</v>
      </c>
      <c r="AT2424" t="str">
        <f t="shared" si="382"/>
        <v>9791137602663</v>
      </c>
      <c r="AV2424" t="str">
        <f t="shared" si="383"/>
        <v>판타지 웹소설 &gt; 퓨전 판타지</v>
      </c>
    </row>
    <row r="2425" spans="1:48" x14ac:dyDescent="0.4">
      <c r="A2425">
        <v>2313012849</v>
      </c>
      <c r="B2425">
        <v>2313013268</v>
      </c>
      <c r="C2425" t="str">
        <f>T("디버프 마스터 420화")</f>
        <v>디버프 마스터 420화</v>
      </c>
      <c r="D2425" t="str">
        <f>T("420")</f>
        <v>420</v>
      </c>
      <c r="E2425" t="str">
        <f t="shared" si="380"/>
        <v>담화공</v>
      </c>
      <c r="H2425" t="str">
        <f t="shared" si="384"/>
        <v>스토리위즈</v>
      </c>
      <c r="I2425" t="str">
        <f t="shared" si="381"/>
        <v>디버프 마스터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200</v>
      </c>
      <c r="AL2425">
        <v>0</v>
      </c>
      <c r="AM2425">
        <v>0</v>
      </c>
      <c r="AN2425">
        <v>0</v>
      </c>
      <c r="AO2425">
        <v>0</v>
      </c>
      <c r="AP2425">
        <v>140</v>
      </c>
      <c r="AT2425" t="str">
        <f t="shared" si="382"/>
        <v>9791137602663</v>
      </c>
      <c r="AV2425" t="str">
        <f t="shared" si="383"/>
        <v>판타지 웹소설 &gt; 퓨전 판타지</v>
      </c>
    </row>
    <row r="2426" spans="1:48" x14ac:dyDescent="0.4">
      <c r="A2426">
        <v>2313012849</v>
      </c>
      <c r="B2426">
        <v>2313013269</v>
      </c>
      <c r="C2426" t="str">
        <f>T("디버프 마스터 421화")</f>
        <v>디버프 마스터 421화</v>
      </c>
      <c r="D2426" t="str">
        <f>T("421")</f>
        <v>421</v>
      </c>
      <c r="E2426" t="str">
        <f t="shared" si="380"/>
        <v>담화공</v>
      </c>
      <c r="H2426" t="str">
        <f t="shared" si="384"/>
        <v>스토리위즈</v>
      </c>
      <c r="I2426" t="str">
        <f t="shared" si="381"/>
        <v>디버프 마스터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200</v>
      </c>
      <c r="AL2426">
        <v>0</v>
      </c>
      <c r="AM2426">
        <v>0</v>
      </c>
      <c r="AN2426">
        <v>0</v>
      </c>
      <c r="AO2426">
        <v>0</v>
      </c>
      <c r="AP2426">
        <v>140</v>
      </c>
      <c r="AT2426" t="str">
        <f t="shared" si="382"/>
        <v>9791137602663</v>
      </c>
      <c r="AV2426" t="str">
        <f t="shared" si="383"/>
        <v>판타지 웹소설 &gt; 퓨전 판타지</v>
      </c>
    </row>
    <row r="2427" spans="1:48" x14ac:dyDescent="0.4">
      <c r="A2427">
        <v>2313012849</v>
      </c>
      <c r="B2427">
        <v>2313013270</v>
      </c>
      <c r="C2427" t="str">
        <f>T("디버프 마스터 422화")</f>
        <v>디버프 마스터 422화</v>
      </c>
      <c r="D2427" t="str">
        <f>T("422")</f>
        <v>422</v>
      </c>
      <c r="E2427" t="str">
        <f t="shared" si="380"/>
        <v>담화공</v>
      </c>
      <c r="H2427" t="str">
        <f t="shared" si="384"/>
        <v>스토리위즈</v>
      </c>
      <c r="I2427" t="str">
        <f t="shared" si="381"/>
        <v>디버프 마스터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200</v>
      </c>
      <c r="AL2427">
        <v>0</v>
      </c>
      <c r="AM2427">
        <v>0</v>
      </c>
      <c r="AN2427">
        <v>0</v>
      </c>
      <c r="AO2427">
        <v>0</v>
      </c>
      <c r="AP2427">
        <v>140</v>
      </c>
      <c r="AT2427" t="str">
        <f t="shared" si="382"/>
        <v>9791137602663</v>
      </c>
      <c r="AV2427" t="str">
        <f t="shared" si="383"/>
        <v>판타지 웹소설 &gt; 퓨전 판타지</v>
      </c>
    </row>
    <row r="2428" spans="1:48" x14ac:dyDescent="0.4">
      <c r="A2428">
        <v>2313012849</v>
      </c>
      <c r="B2428">
        <v>2313013271</v>
      </c>
      <c r="C2428" t="str">
        <f>T("디버프 마스터 423화")</f>
        <v>디버프 마스터 423화</v>
      </c>
      <c r="D2428" t="str">
        <f>T("423")</f>
        <v>423</v>
      </c>
      <c r="E2428" t="str">
        <f t="shared" si="380"/>
        <v>담화공</v>
      </c>
      <c r="H2428" t="str">
        <f t="shared" si="384"/>
        <v>스토리위즈</v>
      </c>
      <c r="I2428" t="str">
        <f t="shared" si="381"/>
        <v>디버프 마스터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200</v>
      </c>
      <c r="AL2428">
        <v>0</v>
      </c>
      <c r="AM2428">
        <v>0</v>
      </c>
      <c r="AN2428">
        <v>0</v>
      </c>
      <c r="AO2428">
        <v>0</v>
      </c>
      <c r="AP2428">
        <v>140</v>
      </c>
      <c r="AT2428" t="str">
        <f t="shared" si="382"/>
        <v>9791137602663</v>
      </c>
      <c r="AV2428" t="str">
        <f t="shared" si="383"/>
        <v>판타지 웹소설 &gt; 퓨전 판타지</v>
      </c>
    </row>
    <row r="2429" spans="1:48" x14ac:dyDescent="0.4">
      <c r="A2429">
        <v>2313012849</v>
      </c>
      <c r="B2429">
        <v>2313013272</v>
      </c>
      <c r="C2429" t="str">
        <f>T("디버프 마스터 424화")</f>
        <v>디버프 마스터 424화</v>
      </c>
      <c r="D2429" t="str">
        <f>T("424")</f>
        <v>424</v>
      </c>
      <c r="E2429" t="str">
        <f t="shared" si="380"/>
        <v>담화공</v>
      </c>
      <c r="H2429" t="str">
        <f t="shared" si="384"/>
        <v>스토리위즈</v>
      </c>
      <c r="I2429" t="str">
        <f t="shared" si="381"/>
        <v>디버프 마스터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200</v>
      </c>
      <c r="AL2429">
        <v>0</v>
      </c>
      <c r="AM2429">
        <v>0</v>
      </c>
      <c r="AN2429">
        <v>0</v>
      </c>
      <c r="AO2429">
        <v>0</v>
      </c>
      <c r="AP2429">
        <v>140</v>
      </c>
      <c r="AT2429" t="str">
        <f t="shared" si="382"/>
        <v>9791137602663</v>
      </c>
      <c r="AV2429" t="str">
        <f t="shared" si="383"/>
        <v>판타지 웹소설 &gt; 퓨전 판타지</v>
      </c>
    </row>
    <row r="2430" spans="1:48" x14ac:dyDescent="0.4">
      <c r="A2430">
        <v>2313012849</v>
      </c>
      <c r="B2430">
        <v>2313013273</v>
      </c>
      <c r="C2430" t="str">
        <f>T("디버프 마스터 425화")</f>
        <v>디버프 마스터 425화</v>
      </c>
      <c r="D2430" t="str">
        <f>T("425")</f>
        <v>425</v>
      </c>
      <c r="E2430" t="str">
        <f t="shared" si="380"/>
        <v>담화공</v>
      </c>
      <c r="H2430" t="str">
        <f t="shared" si="384"/>
        <v>스토리위즈</v>
      </c>
      <c r="I2430" t="str">
        <f t="shared" si="381"/>
        <v>디버프 마스터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200</v>
      </c>
      <c r="AL2430">
        <v>0</v>
      </c>
      <c r="AM2430">
        <v>0</v>
      </c>
      <c r="AN2430">
        <v>0</v>
      </c>
      <c r="AO2430">
        <v>0</v>
      </c>
      <c r="AP2430">
        <v>140</v>
      </c>
      <c r="AT2430" t="str">
        <f t="shared" si="382"/>
        <v>9791137602663</v>
      </c>
      <c r="AV2430" t="str">
        <f t="shared" si="383"/>
        <v>판타지 웹소설 &gt; 퓨전 판타지</v>
      </c>
    </row>
    <row r="2431" spans="1:48" x14ac:dyDescent="0.4">
      <c r="A2431">
        <v>2313012849</v>
      </c>
      <c r="B2431">
        <v>2313013274</v>
      </c>
      <c r="C2431" t="str">
        <f>T("디버프 마스터 426화")</f>
        <v>디버프 마스터 426화</v>
      </c>
      <c r="D2431" t="str">
        <f>T("426")</f>
        <v>426</v>
      </c>
      <c r="E2431" t="str">
        <f t="shared" si="380"/>
        <v>담화공</v>
      </c>
      <c r="H2431" t="str">
        <f t="shared" si="384"/>
        <v>스토리위즈</v>
      </c>
      <c r="I2431" t="str">
        <f t="shared" si="381"/>
        <v>디버프 마스터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200</v>
      </c>
      <c r="AL2431">
        <v>0</v>
      </c>
      <c r="AM2431">
        <v>0</v>
      </c>
      <c r="AN2431">
        <v>0</v>
      </c>
      <c r="AO2431">
        <v>0</v>
      </c>
      <c r="AP2431">
        <v>140</v>
      </c>
      <c r="AT2431" t="str">
        <f t="shared" si="382"/>
        <v>9791137602663</v>
      </c>
      <c r="AV2431" t="str">
        <f t="shared" si="383"/>
        <v>판타지 웹소설 &gt; 퓨전 판타지</v>
      </c>
    </row>
    <row r="2432" spans="1:48" x14ac:dyDescent="0.4">
      <c r="A2432">
        <v>2313012849</v>
      </c>
      <c r="B2432">
        <v>2313013275</v>
      </c>
      <c r="C2432" t="str">
        <f>T("디버프 마스터 427화")</f>
        <v>디버프 마스터 427화</v>
      </c>
      <c r="D2432" t="str">
        <f>T("427")</f>
        <v>427</v>
      </c>
      <c r="E2432" t="str">
        <f t="shared" si="380"/>
        <v>담화공</v>
      </c>
      <c r="H2432" t="str">
        <f t="shared" si="384"/>
        <v>스토리위즈</v>
      </c>
      <c r="I2432" t="str">
        <f t="shared" si="381"/>
        <v>디버프 마스터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200</v>
      </c>
      <c r="AL2432">
        <v>0</v>
      </c>
      <c r="AM2432">
        <v>0</v>
      </c>
      <c r="AN2432">
        <v>0</v>
      </c>
      <c r="AO2432">
        <v>0</v>
      </c>
      <c r="AP2432">
        <v>140</v>
      </c>
      <c r="AT2432" t="str">
        <f t="shared" si="382"/>
        <v>9791137602663</v>
      </c>
      <c r="AV2432" t="str">
        <f t="shared" si="383"/>
        <v>판타지 웹소설 &gt; 퓨전 판타지</v>
      </c>
    </row>
    <row r="2433" spans="1:48" x14ac:dyDescent="0.4">
      <c r="A2433">
        <v>2313012849</v>
      </c>
      <c r="B2433">
        <v>2313013276</v>
      </c>
      <c r="C2433" t="str">
        <f>T("디버프 마스터 428화")</f>
        <v>디버프 마스터 428화</v>
      </c>
      <c r="D2433" t="str">
        <f>T("428")</f>
        <v>428</v>
      </c>
      <c r="E2433" t="str">
        <f t="shared" si="380"/>
        <v>담화공</v>
      </c>
      <c r="H2433" t="str">
        <f t="shared" si="384"/>
        <v>스토리위즈</v>
      </c>
      <c r="I2433" t="str">
        <f t="shared" si="381"/>
        <v>디버프 마스터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200</v>
      </c>
      <c r="AL2433">
        <v>0</v>
      </c>
      <c r="AM2433">
        <v>0</v>
      </c>
      <c r="AN2433">
        <v>0</v>
      </c>
      <c r="AO2433">
        <v>0</v>
      </c>
      <c r="AP2433">
        <v>140</v>
      </c>
      <c r="AT2433" t="str">
        <f t="shared" si="382"/>
        <v>9791137602663</v>
      </c>
      <c r="AV2433" t="str">
        <f t="shared" si="383"/>
        <v>판타지 웹소설 &gt; 퓨전 판타지</v>
      </c>
    </row>
    <row r="2434" spans="1:48" x14ac:dyDescent="0.4">
      <c r="A2434">
        <v>2313012849</v>
      </c>
      <c r="B2434">
        <v>2313013277</v>
      </c>
      <c r="C2434" t="str">
        <f>T("디버프 마스터 429화")</f>
        <v>디버프 마스터 429화</v>
      </c>
      <c r="D2434" t="str">
        <f>T("429")</f>
        <v>429</v>
      </c>
      <c r="E2434" t="str">
        <f t="shared" si="380"/>
        <v>담화공</v>
      </c>
      <c r="H2434" t="str">
        <f t="shared" si="384"/>
        <v>스토리위즈</v>
      </c>
      <c r="I2434" t="str">
        <f t="shared" si="381"/>
        <v>디버프 마스터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200</v>
      </c>
      <c r="AL2434">
        <v>0</v>
      </c>
      <c r="AM2434">
        <v>0</v>
      </c>
      <c r="AN2434">
        <v>0</v>
      </c>
      <c r="AO2434">
        <v>0</v>
      </c>
      <c r="AP2434">
        <v>140</v>
      </c>
      <c r="AT2434" t="str">
        <f t="shared" si="382"/>
        <v>9791137602663</v>
      </c>
      <c r="AV2434" t="str">
        <f t="shared" si="383"/>
        <v>판타지 웹소설 &gt; 퓨전 판타지</v>
      </c>
    </row>
    <row r="2435" spans="1:48" x14ac:dyDescent="0.4">
      <c r="A2435">
        <v>2313012849</v>
      </c>
      <c r="B2435">
        <v>2313013278</v>
      </c>
      <c r="C2435" t="str">
        <f>T("디버프 마스터 430화")</f>
        <v>디버프 마스터 430화</v>
      </c>
      <c r="D2435" t="str">
        <f>T("430")</f>
        <v>430</v>
      </c>
      <c r="E2435" t="str">
        <f t="shared" si="380"/>
        <v>담화공</v>
      </c>
      <c r="H2435" t="str">
        <f t="shared" si="384"/>
        <v>스토리위즈</v>
      </c>
      <c r="I2435" t="str">
        <f t="shared" si="381"/>
        <v>디버프 마스터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200</v>
      </c>
      <c r="AL2435">
        <v>0</v>
      </c>
      <c r="AM2435">
        <v>0</v>
      </c>
      <c r="AN2435">
        <v>0</v>
      </c>
      <c r="AO2435">
        <v>0</v>
      </c>
      <c r="AP2435">
        <v>140</v>
      </c>
      <c r="AT2435" t="str">
        <f t="shared" si="382"/>
        <v>9791137602663</v>
      </c>
      <c r="AV2435" t="str">
        <f t="shared" si="383"/>
        <v>판타지 웹소설 &gt; 퓨전 판타지</v>
      </c>
    </row>
    <row r="2436" spans="1:48" x14ac:dyDescent="0.4">
      <c r="A2436">
        <v>2313012849</v>
      </c>
      <c r="B2436">
        <v>2313013279</v>
      </c>
      <c r="C2436" t="str">
        <f>T("디버프 마스터 431화")</f>
        <v>디버프 마스터 431화</v>
      </c>
      <c r="D2436" t="str">
        <f>T("431")</f>
        <v>431</v>
      </c>
      <c r="E2436" t="str">
        <f t="shared" si="380"/>
        <v>담화공</v>
      </c>
      <c r="H2436" t="str">
        <f t="shared" si="384"/>
        <v>스토리위즈</v>
      </c>
      <c r="I2436" t="str">
        <f t="shared" si="381"/>
        <v>디버프 마스터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200</v>
      </c>
      <c r="AL2436">
        <v>0</v>
      </c>
      <c r="AM2436">
        <v>0</v>
      </c>
      <c r="AN2436">
        <v>0</v>
      </c>
      <c r="AO2436">
        <v>0</v>
      </c>
      <c r="AP2436">
        <v>140</v>
      </c>
      <c r="AT2436" t="str">
        <f t="shared" si="382"/>
        <v>9791137602663</v>
      </c>
      <c r="AV2436" t="str">
        <f t="shared" si="383"/>
        <v>판타지 웹소설 &gt; 퓨전 판타지</v>
      </c>
    </row>
    <row r="2437" spans="1:48" x14ac:dyDescent="0.4">
      <c r="A2437">
        <v>2313012849</v>
      </c>
      <c r="B2437">
        <v>2313013280</v>
      </c>
      <c r="C2437" t="str">
        <f>T("디버프 마스터 432화")</f>
        <v>디버프 마스터 432화</v>
      </c>
      <c r="D2437" t="str">
        <f>T("432")</f>
        <v>432</v>
      </c>
      <c r="E2437" t="str">
        <f t="shared" si="380"/>
        <v>담화공</v>
      </c>
      <c r="H2437" t="str">
        <f t="shared" si="384"/>
        <v>스토리위즈</v>
      </c>
      <c r="I2437" t="str">
        <f t="shared" si="381"/>
        <v>디버프 마스터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200</v>
      </c>
      <c r="AL2437">
        <v>0</v>
      </c>
      <c r="AM2437">
        <v>0</v>
      </c>
      <c r="AN2437">
        <v>0</v>
      </c>
      <c r="AO2437">
        <v>0</v>
      </c>
      <c r="AP2437">
        <v>140</v>
      </c>
      <c r="AT2437" t="str">
        <f t="shared" si="382"/>
        <v>9791137602663</v>
      </c>
      <c r="AV2437" t="str">
        <f t="shared" si="383"/>
        <v>판타지 웹소설 &gt; 퓨전 판타지</v>
      </c>
    </row>
    <row r="2438" spans="1:48" x14ac:dyDescent="0.4">
      <c r="A2438">
        <v>2313012849</v>
      </c>
      <c r="B2438">
        <v>2313013281</v>
      </c>
      <c r="C2438" t="str">
        <f>T("디버프 마스터 433화")</f>
        <v>디버프 마스터 433화</v>
      </c>
      <c r="D2438" t="str">
        <f>T("433")</f>
        <v>433</v>
      </c>
      <c r="E2438" t="str">
        <f t="shared" si="380"/>
        <v>담화공</v>
      </c>
      <c r="H2438" t="str">
        <f t="shared" si="384"/>
        <v>스토리위즈</v>
      </c>
      <c r="I2438" t="str">
        <f t="shared" si="381"/>
        <v>디버프 마스터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>
        <v>140</v>
      </c>
      <c r="AT2438" t="str">
        <f t="shared" si="382"/>
        <v>9791137602663</v>
      </c>
      <c r="AV2438" t="str">
        <f t="shared" si="383"/>
        <v>판타지 웹소설 &gt; 퓨전 판타지</v>
      </c>
    </row>
    <row r="2439" spans="1:48" x14ac:dyDescent="0.4">
      <c r="A2439">
        <v>2313012849</v>
      </c>
      <c r="B2439">
        <v>2313013282</v>
      </c>
      <c r="C2439" t="str">
        <f>T("디버프 마스터 434화")</f>
        <v>디버프 마스터 434화</v>
      </c>
      <c r="D2439" t="str">
        <f>T("434")</f>
        <v>434</v>
      </c>
      <c r="E2439" t="str">
        <f t="shared" si="380"/>
        <v>담화공</v>
      </c>
      <c r="H2439" t="str">
        <f t="shared" si="384"/>
        <v>스토리위즈</v>
      </c>
      <c r="I2439" t="str">
        <f t="shared" si="381"/>
        <v>디버프 마스터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200</v>
      </c>
      <c r="AL2439">
        <v>0</v>
      </c>
      <c r="AM2439">
        <v>0</v>
      </c>
      <c r="AN2439">
        <v>0</v>
      </c>
      <c r="AO2439">
        <v>0</v>
      </c>
      <c r="AP2439">
        <v>140</v>
      </c>
      <c r="AT2439" t="str">
        <f t="shared" si="382"/>
        <v>9791137602663</v>
      </c>
      <c r="AV2439" t="str">
        <f t="shared" si="383"/>
        <v>판타지 웹소설 &gt; 퓨전 판타지</v>
      </c>
    </row>
    <row r="2440" spans="1:48" x14ac:dyDescent="0.4">
      <c r="A2440">
        <v>2313012849</v>
      </c>
      <c r="B2440">
        <v>2313013283</v>
      </c>
      <c r="C2440" t="str">
        <f>T("디버프 마스터 435화")</f>
        <v>디버프 마스터 435화</v>
      </c>
      <c r="D2440" t="str">
        <f>T("435")</f>
        <v>435</v>
      </c>
      <c r="E2440" t="str">
        <f t="shared" si="380"/>
        <v>담화공</v>
      </c>
      <c r="H2440" t="str">
        <f t="shared" si="384"/>
        <v>스토리위즈</v>
      </c>
      <c r="I2440" t="str">
        <f t="shared" si="381"/>
        <v>디버프 마스터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200</v>
      </c>
      <c r="AL2440">
        <v>0</v>
      </c>
      <c r="AM2440">
        <v>0</v>
      </c>
      <c r="AN2440">
        <v>0</v>
      </c>
      <c r="AO2440">
        <v>0</v>
      </c>
      <c r="AP2440">
        <v>140</v>
      </c>
      <c r="AT2440" t="str">
        <f t="shared" si="382"/>
        <v>9791137602663</v>
      </c>
      <c r="AV2440" t="str">
        <f t="shared" si="383"/>
        <v>판타지 웹소설 &gt; 퓨전 판타지</v>
      </c>
    </row>
    <row r="2441" spans="1:48" x14ac:dyDescent="0.4">
      <c r="A2441">
        <v>2313012849</v>
      </c>
      <c r="B2441">
        <v>2313013284</v>
      </c>
      <c r="C2441" t="str">
        <f>T("디버프 마스터 436화")</f>
        <v>디버프 마스터 436화</v>
      </c>
      <c r="D2441" t="str">
        <f>T("436")</f>
        <v>436</v>
      </c>
      <c r="E2441" t="str">
        <f t="shared" si="380"/>
        <v>담화공</v>
      </c>
      <c r="H2441" t="str">
        <f t="shared" si="384"/>
        <v>스토리위즈</v>
      </c>
      <c r="I2441" t="str">
        <f t="shared" si="381"/>
        <v>디버프 마스터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200</v>
      </c>
      <c r="AL2441">
        <v>0</v>
      </c>
      <c r="AM2441">
        <v>0</v>
      </c>
      <c r="AN2441">
        <v>0</v>
      </c>
      <c r="AO2441">
        <v>0</v>
      </c>
      <c r="AP2441">
        <v>140</v>
      </c>
      <c r="AT2441" t="str">
        <f t="shared" si="382"/>
        <v>9791137602663</v>
      </c>
      <c r="AV2441" t="str">
        <f t="shared" si="383"/>
        <v>판타지 웹소설 &gt; 퓨전 판타지</v>
      </c>
    </row>
    <row r="2442" spans="1:48" x14ac:dyDescent="0.4">
      <c r="A2442">
        <v>2313012849</v>
      </c>
      <c r="B2442">
        <v>2313013285</v>
      </c>
      <c r="C2442" t="str">
        <f>T("디버프 마스터 437화")</f>
        <v>디버프 마스터 437화</v>
      </c>
      <c r="D2442" t="str">
        <f>T("437")</f>
        <v>437</v>
      </c>
      <c r="E2442" t="str">
        <f t="shared" si="380"/>
        <v>담화공</v>
      </c>
      <c r="H2442" t="str">
        <f t="shared" si="384"/>
        <v>스토리위즈</v>
      </c>
      <c r="I2442" t="str">
        <f t="shared" si="381"/>
        <v>디버프 마스터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200</v>
      </c>
      <c r="AL2442">
        <v>0</v>
      </c>
      <c r="AM2442">
        <v>0</v>
      </c>
      <c r="AN2442">
        <v>0</v>
      </c>
      <c r="AO2442">
        <v>0</v>
      </c>
      <c r="AP2442">
        <v>140</v>
      </c>
      <c r="AT2442" t="str">
        <f t="shared" si="382"/>
        <v>9791137602663</v>
      </c>
      <c r="AV2442" t="str">
        <f t="shared" si="383"/>
        <v>판타지 웹소설 &gt; 퓨전 판타지</v>
      </c>
    </row>
    <row r="2443" spans="1:48" x14ac:dyDescent="0.4">
      <c r="A2443">
        <v>2313012849</v>
      </c>
      <c r="B2443">
        <v>2313013286</v>
      </c>
      <c r="C2443" t="str">
        <f>T("디버프 마스터 438화")</f>
        <v>디버프 마스터 438화</v>
      </c>
      <c r="D2443" t="str">
        <f>T("438")</f>
        <v>438</v>
      </c>
      <c r="E2443" t="str">
        <f t="shared" si="380"/>
        <v>담화공</v>
      </c>
      <c r="H2443" t="str">
        <f t="shared" si="384"/>
        <v>스토리위즈</v>
      </c>
      <c r="I2443" t="str">
        <f t="shared" si="381"/>
        <v>디버프 마스터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200</v>
      </c>
      <c r="AL2443">
        <v>0</v>
      </c>
      <c r="AM2443">
        <v>0</v>
      </c>
      <c r="AN2443">
        <v>0</v>
      </c>
      <c r="AO2443">
        <v>0</v>
      </c>
      <c r="AP2443">
        <v>140</v>
      </c>
      <c r="AT2443" t="str">
        <f t="shared" si="382"/>
        <v>9791137602663</v>
      </c>
      <c r="AV2443" t="str">
        <f t="shared" si="383"/>
        <v>판타지 웹소설 &gt; 퓨전 판타지</v>
      </c>
    </row>
    <row r="2444" spans="1:48" x14ac:dyDescent="0.4">
      <c r="A2444">
        <v>2313012849</v>
      </c>
      <c r="B2444">
        <v>2313013287</v>
      </c>
      <c r="C2444" t="str">
        <f>T("디버프 마스터 439화")</f>
        <v>디버프 마스터 439화</v>
      </c>
      <c r="D2444" t="str">
        <f>T("439")</f>
        <v>439</v>
      </c>
      <c r="E2444" t="str">
        <f t="shared" si="380"/>
        <v>담화공</v>
      </c>
      <c r="H2444" t="str">
        <f t="shared" si="384"/>
        <v>스토리위즈</v>
      </c>
      <c r="I2444" t="str">
        <f t="shared" si="381"/>
        <v>디버프 마스터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200</v>
      </c>
      <c r="AL2444">
        <v>0</v>
      </c>
      <c r="AM2444">
        <v>0</v>
      </c>
      <c r="AN2444">
        <v>0</v>
      </c>
      <c r="AO2444">
        <v>0</v>
      </c>
      <c r="AP2444">
        <v>140</v>
      </c>
      <c r="AT2444" t="str">
        <f t="shared" si="382"/>
        <v>9791137602663</v>
      </c>
      <c r="AV2444" t="str">
        <f t="shared" si="383"/>
        <v>판타지 웹소설 &gt; 퓨전 판타지</v>
      </c>
    </row>
    <row r="2445" spans="1:48" x14ac:dyDescent="0.4">
      <c r="A2445">
        <v>2313012849</v>
      </c>
      <c r="B2445">
        <v>2313013288</v>
      </c>
      <c r="C2445" t="str">
        <f>T("디버프 마스터 440화")</f>
        <v>디버프 마스터 440화</v>
      </c>
      <c r="D2445" t="str">
        <f>T("440")</f>
        <v>440</v>
      </c>
      <c r="E2445" t="str">
        <f t="shared" si="380"/>
        <v>담화공</v>
      </c>
      <c r="H2445" t="str">
        <f t="shared" si="384"/>
        <v>스토리위즈</v>
      </c>
      <c r="I2445" t="str">
        <f t="shared" si="381"/>
        <v>디버프 마스터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200</v>
      </c>
      <c r="AL2445">
        <v>0</v>
      </c>
      <c r="AM2445">
        <v>0</v>
      </c>
      <c r="AN2445">
        <v>0</v>
      </c>
      <c r="AO2445">
        <v>0</v>
      </c>
      <c r="AP2445">
        <v>140</v>
      </c>
      <c r="AT2445" t="str">
        <f t="shared" si="382"/>
        <v>9791137602663</v>
      </c>
      <c r="AV2445" t="str">
        <f t="shared" si="383"/>
        <v>판타지 웹소설 &gt; 퓨전 판타지</v>
      </c>
    </row>
    <row r="2446" spans="1:48" x14ac:dyDescent="0.4">
      <c r="A2446">
        <v>2313012849</v>
      </c>
      <c r="B2446">
        <v>2313013289</v>
      </c>
      <c r="C2446" t="str">
        <f>T("디버프 마스터 441화")</f>
        <v>디버프 마스터 441화</v>
      </c>
      <c r="D2446" t="str">
        <f>T("441")</f>
        <v>441</v>
      </c>
      <c r="E2446" t="str">
        <f t="shared" si="380"/>
        <v>담화공</v>
      </c>
      <c r="H2446" t="str">
        <f t="shared" si="384"/>
        <v>스토리위즈</v>
      </c>
      <c r="I2446" t="str">
        <f t="shared" si="381"/>
        <v>디버프 마스터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>
        <v>140</v>
      </c>
      <c r="AT2446" t="str">
        <f t="shared" si="382"/>
        <v>9791137602663</v>
      </c>
      <c r="AV2446" t="str">
        <f t="shared" si="383"/>
        <v>판타지 웹소설 &gt; 퓨전 판타지</v>
      </c>
    </row>
    <row r="2447" spans="1:48" x14ac:dyDescent="0.4">
      <c r="A2447">
        <v>2313012849</v>
      </c>
      <c r="B2447">
        <v>2313013290</v>
      </c>
      <c r="C2447" t="str">
        <f>T("디버프 마스터 442화")</f>
        <v>디버프 마스터 442화</v>
      </c>
      <c r="D2447" t="str">
        <f>T("442")</f>
        <v>442</v>
      </c>
      <c r="E2447" t="str">
        <f t="shared" si="380"/>
        <v>담화공</v>
      </c>
      <c r="H2447" t="str">
        <f t="shared" si="384"/>
        <v>스토리위즈</v>
      </c>
      <c r="I2447" t="str">
        <f t="shared" si="381"/>
        <v>디버프 마스터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>
        <v>140</v>
      </c>
      <c r="AT2447" t="str">
        <f t="shared" si="382"/>
        <v>9791137602663</v>
      </c>
      <c r="AV2447" t="str">
        <f t="shared" si="383"/>
        <v>판타지 웹소설 &gt; 퓨전 판타지</v>
      </c>
    </row>
    <row r="2448" spans="1:48" x14ac:dyDescent="0.4">
      <c r="A2448">
        <v>2313012849</v>
      </c>
      <c r="B2448">
        <v>2313013291</v>
      </c>
      <c r="C2448" t="str">
        <f>T("디버프 마스터 443화")</f>
        <v>디버프 마스터 443화</v>
      </c>
      <c r="D2448" t="str">
        <f>T("443")</f>
        <v>443</v>
      </c>
      <c r="E2448" t="str">
        <f t="shared" si="380"/>
        <v>담화공</v>
      </c>
      <c r="H2448" t="str">
        <f t="shared" si="384"/>
        <v>스토리위즈</v>
      </c>
      <c r="I2448" t="str">
        <f t="shared" si="381"/>
        <v>디버프 마스터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>
        <v>140</v>
      </c>
      <c r="AT2448" t="str">
        <f t="shared" si="382"/>
        <v>9791137602663</v>
      </c>
      <c r="AV2448" t="str">
        <f t="shared" si="383"/>
        <v>판타지 웹소설 &gt; 퓨전 판타지</v>
      </c>
    </row>
    <row r="2449" spans="1:48" x14ac:dyDescent="0.4">
      <c r="A2449">
        <v>2313012849</v>
      </c>
      <c r="B2449">
        <v>2313013292</v>
      </c>
      <c r="C2449" t="str">
        <f>T("디버프 마스터 444화")</f>
        <v>디버프 마스터 444화</v>
      </c>
      <c r="D2449" t="str">
        <f>T("444")</f>
        <v>444</v>
      </c>
      <c r="E2449" t="str">
        <f t="shared" si="380"/>
        <v>담화공</v>
      </c>
      <c r="H2449" t="str">
        <f t="shared" si="384"/>
        <v>스토리위즈</v>
      </c>
      <c r="I2449" t="str">
        <f t="shared" si="381"/>
        <v>디버프 마스터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>
        <v>140</v>
      </c>
      <c r="AT2449" t="str">
        <f t="shared" si="382"/>
        <v>9791137602663</v>
      </c>
      <c r="AV2449" t="str">
        <f t="shared" si="383"/>
        <v>판타지 웹소설 &gt; 퓨전 판타지</v>
      </c>
    </row>
    <row r="2450" spans="1:48" x14ac:dyDescent="0.4">
      <c r="A2450">
        <v>2313012849</v>
      </c>
      <c r="B2450">
        <v>2313013293</v>
      </c>
      <c r="C2450" t="str">
        <f>T("디버프 마스터 445화")</f>
        <v>디버프 마스터 445화</v>
      </c>
      <c r="D2450" t="str">
        <f>T("445")</f>
        <v>445</v>
      </c>
      <c r="E2450" t="str">
        <f t="shared" si="380"/>
        <v>담화공</v>
      </c>
      <c r="H2450" t="str">
        <f t="shared" si="384"/>
        <v>스토리위즈</v>
      </c>
      <c r="I2450" t="str">
        <f t="shared" si="381"/>
        <v>디버프 마스터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>
        <v>140</v>
      </c>
      <c r="AT2450" t="str">
        <f t="shared" si="382"/>
        <v>9791137602663</v>
      </c>
      <c r="AV2450" t="str">
        <f t="shared" si="383"/>
        <v>판타지 웹소설 &gt; 퓨전 판타지</v>
      </c>
    </row>
    <row r="2451" spans="1:48" x14ac:dyDescent="0.4">
      <c r="A2451">
        <v>2313012849</v>
      </c>
      <c r="B2451">
        <v>2313013294</v>
      </c>
      <c r="C2451" t="str">
        <f>T("디버프 마스터 446화")</f>
        <v>디버프 마스터 446화</v>
      </c>
      <c r="D2451" t="str">
        <f>T("446")</f>
        <v>446</v>
      </c>
      <c r="E2451" t="str">
        <f t="shared" si="380"/>
        <v>담화공</v>
      </c>
      <c r="H2451" t="str">
        <f t="shared" si="384"/>
        <v>스토리위즈</v>
      </c>
      <c r="I2451" t="str">
        <f t="shared" si="381"/>
        <v>디버프 마스터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>
        <v>140</v>
      </c>
      <c r="AT2451" t="str">
        <f t="shared" si="382"/>
        <v>9791137602663</v>
      </c>
      <c r="AV2451" t="str">
        <f t="shared" si="383"/>
        <v>판타지 웹소설 &gt; 퓨전 판타지</v>
      </c>
    </row>
    <row r="2452" spans="1:48" x14ac:dyDescent="0.4">
      <c r="A2452">
        <v>2313012849</v>
      </c>
      <c r="B2452">
        <v>2313013295</v>
      </c>
      <c r="C2452" t="str">
        <f>T("디버프 마스터 447화")</f>
        <v>디버프 마스터 447화</v>
      </c>
      <c r="D2452" t="str">
        <f>T("447")</f>
        <v>447</v>
      </c>
      <c r="E2452" t="str">
        <f t="shared" si="380"/>
        <v>담화공</v>
      </c>
      <c r="H2452" t="str">
        <f t="shared" si="384"/>
        <v>스토리위즈</v>
      </c>
      <c r="I2452" t="str">
        <f t="shared" si="381"/>
        <v>디버프 마스터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>
        <v>140</v>
      </c>
      <c r="AT2452" t="str">
        <f t="shared" si="382"/>
        <v>9791137602663</v>
      </c>
      <c r="AV2452" t="str">
        <f t="shared" si="383"/>
        <v>판타지 웹소설 &gt; 퓨전 판타지</v>
      </c>
    </row>
    <row r="2453" spans="1:48" x14ac:dyDescent="0.4">
      <c r="A2453">
        <v>2313012849</v>
      </c>
      <c r="B2453">
        <v>2313013296</v>
      </c>
      <c r="C2453" t="str">
        <f>T("디버프 마스터 448화")</f>
        <v>디버프 마스터 448화</v>
      </c>
      <c r="D2453" t="str">
        <f>T("448")</f>
        <v>448</v>
      </c>
      <c r="E2453" t="str">
        <f t="shared" si="380"/>
        <v>담화공</v>
      </c>
      <c r="H2453" t="str">
        <f t="shared" si="384"/>
        <v>스토리위즈</v>
      </c>
      <c r="I2453" t="str">
        <f t="shared" si="381"/>
        <v>디버프 마스터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>
        <v>140</v>
      </c>
      <c r="AT2453" t="str">
        <f t="shared" si="382"/>
        <v>9791137602663</v>
      </c>
      <c r="AV2453" t="str">
        <f t="shared" si="383"/>
        <v>판타지 웹소설 &gt; 퓨전 판타지</v>
      </c>
    </row>
    <row r="2454" spans="1:48" x14ac:dyDescent="0.4">
      <c r="A2454">
        <v>2313012849</v>
      </c>
      <c r="B2454">
        <v>2313013297</v>
      </c>
      <c r="C2454" t="str">
        <f>T("디버프 마스터 449화")</f>
        <v>디버프 마스터 449화</v>
      </c>
      <c r="D2454" t="str">
        <f>T("449")</f>
        <v>449</v>
      </c>
      <c r="E2454" t="str">
        <f t="shared" si="380"/>
        <v>담화공</v>
      </c>
      <c r="H2454" t="str">
        <f t="shared" si="384"/>
        <v>스토리위즈</v>
      </c>
      <c r="I2454" t="str">
        <f t="shared" si="381"/>
        <v>디버프 마스터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>
        <v>140</v>
      </c>
      <c r="AT2454" t="str">
        <f t="shared" si="382"/>
        <v>9791137602663</v>
      </c>
      <c r="AV2454" t="str">
        <f t="shared" si="383"/>
        <v>판타지 웹소설 &gt; 퓨전 판타지</v>
      </c>
    </row>
    <row r="2455" spans="1:48" x14ac:dyDescent="0.4">
      <c r="A2455">
        <v>2313012849</v>
      </c>
      <c r="B2455">
        <v>2313013298</v>
      </c>
      <c r="C2455" t="str">
        <f>T("디버프 마스터 450화")</f>
        <v>디버프 마스터 450화</v>
      </c>
      <c r="D2455" t="str">
        <f>T("450")</f>
        <v>450</v>
      </c>
      <c r="E2455" t="str">
        <f t="shared" si="380"/>
        <v>담화공</v>
      </c>
      <c r="H2455" t="str">
        <f t="shared" si="384"/>
        <v>스토리위즈</v>
      </c>
      <c r="I2455" t="str">
        <f t="shared" si="381"/>
        <v>디버프 마스터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>
        <v>140</v>
      </c>
      <c r="AT2455" t="str">
        <f t="shared" si="382"/>
        <v>9791137602663</v>
      </c>
      <c r="AV2455" t="str">
        <f t="shared" si="383"/>
        <v>판타지 웹소설 &gt; 퓨전 판타지</v>
      </c>
    </row>
    <row r="2456" spans="1:48" x14ac:dyDescent="0.4">
      <c r="A2456">
        <v>2313012849</v>
      </c>
      <c r="B2456">
        <v>2313013299</v>
      </c>
      <c r="C2456" t="str">
        <f>T("디버프 마스터 451화")</f>
        <v>디버프 마스터 451화</v>
      </c>
      <c r="D2456" t="str">
        <f>T("451")</f>
        <v>451</v>
      </c>
      <c r="E2456" t="str">
        <f t="shared" si="380"/>
        <v>담화공</v>
      </c>
      <c r="H2456" t="str">
        <f t="shared" si="384"/>
        <v>스토리위즈</v>
      </c>
      <c r="I2456" t="str">
        <f t="shared" si="381"/>
        <v>디버프 마스터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>
        <v>140</v>
      </c>
      <c r="AT2456" t="str">
        <f t="shared" si="382"/>
        <v>9791137602663</v>
      </c>
      <c r="AV2456" t="str">
        <f t="shared" si="383"/>
        <v>판타지 웹소설 &gt; 퓨전 판타지</v>
      </c>
    </row>
    <row r="2457" spans="1:48" x14ac:dyDescent="0.4">
      <c r="A2457">
        <v>2313012849</v>
      </c>
      <c r="B2457">
        <v>2313013300</v>
      </c>
      <c r="C2457" t="str">
        <f>T("디버프 마스터 452화")</f>
        <v>디버프 마스터 452화</v>
      </c>
      <c r="D2457" t="str">
        <f>T("452")</f>
        <v>452</v>
      </c>
      <c r="E2457" t="str">
        <f t="shared" si="380"/>
        <v>담화공</v>
      </c>
      <c r="H2457" t="str">
        <f t="shared" si="384"/>
        <v>스토리위즈</v>
      </c>
      <c r="I2457" t="str">
        <f t="shared" si="381"/>
        <v>디버프 마스터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>
        <v>140</v>
      </c>
      <c r="AT2457" t="str">
        <f t="shared" si="382"/>
        <v>9791137602663</v>
      </c>
      <c r="AV2457" t="str">
        <f t="shared" si="383"/>
        <v>판타지 웹소설 &gt; 퓨전 판타지</v>
      </c>
    </row>
    <row r="2458" spans="1:48" x14ac:dyDescent="0.4">
      <c r="A2458">
        <v>2313012849</v>
      </c>
      <c r="B2458">
        <v>2313013301</v>
      </c>
      <c r="C2458" t="str">
        <f>T("디버프 마스터 453화")</f>
        <v>디버프 마스터 453화</v>
      </c>
      <c r="D2458" t="str">
        <f>T("453")</f>
        <v>453</v>
      </c>
      <c r="E2458" t="str">
        <f t="shared" si="380"/>
        <v>담화공</v>
      </c>
      <c r="H2458" t="str">
        <f t="shared" si="384"/>
        <v>스토리위즈</v>
      </c>
      <c r="I2458" t="str">
        <f t="shared" si="381"/>
        <v>디버프 마스터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>
        <v>140</v>
      </c>
      <c r="AT2458" t="str">
        <f t="shared" si="382"/>
        <v>9791137602663</v>
      </c>
      <c r="AV2458" t="str">
        <f t="shared" si="383"/>
        <v>판타지 웹소설 &gt; 퓨전 판타지</v>
      </c>
    </row>
    <row r="2459" spans="1:48" x14ac:dyDescent="0.4">
      <c r="A2459">
        <v>2313012849</v>
      </c>
      <c r="B2459">
        <v>2313013302</v>
      </c>
      <c r="C2459" t="str">
        <f>T("디버프 마스터 454화")</f>
        <v>디버프 마스터 454화</v>
      </c>
      <c r="D2459" t="str">
        <f>T("454")</f>
        <v>454</v>
      </c>
      <c r="E2459" t="str">
        <f t="shared" si="380"/>
        <v>담화공</v>
      </c>
      <c r="H2459" t="str">
        <f t="shared" si="384"/>
        <v>스토리위즈</v>
      </c>
      <c r="I2459" t="str">
        <f t="shared" si="381"/>
        <v>디버프 마스터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>
        <v>140</v>
      </c>
      <c r="AT2459" t="str">
        <f t="shared" si="382"/>
        <v>9791137602663</v>
      </c>
      <c r="AV2459" t="str">
        <f t="shared" si="383"/>
        <v>판타지 웹소설 &gt; 퓨전 판타지</v>
      </c>
    </row>
    <row r="2460" spans="1:48" x14ac:dyDescent="0.4">
      <c r="A2460">
        <v>2313012849</v>
      </c>
      <c r="B2460">
        <v>2313013303</v>
      </c>
      <c r="C2460" t="str">
        <f>T("디버프 마스터 455화")</f>
        <v>디버프 마스터 455화</v>
      </c>
      <c r="D2460" t="str">
        <f>T("455")</f>
        <v>455</v>
      </c>
      <c r="E2460" t="str">
        <f t="shared" si="380"/>
        <v>담화공</v>
      </c>
      <c r="H2460" t="str">
        <f t="shared" si="384"/>
        <v>스토리위즈</v>
      </c>
      <c r="I2460" t="str">
        <f t="shared" si="381"/>
        <v>디버프 마스터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>
        <v>140</v>
      </c>
      <c r="AT2460" t="str">
        <f t="shared" si="382"/>
        <v>9791137602663</v>
      </c>
      <c r="AV2460" t="str">
        <f t="shared" si="383"/>
        <v>판타지 웹소설 &gt; 퓨전 판타지</v>
      </c>
    </row>
    <row r="2461" spans="1:48" x14ac:dyDescent="0.4">
      <c r="A2461">
        <v>2313012849</v>
      </c>
      <c r="B2461">
        <v>2313013304</v>
      </c>
      <c r="C2461" t="str">
        <f>T("디버프 마스터 456화")</f>
        <v>디버프 마스터 456화</v>
      </c>
      <c r="D2461" t="str">
        <f>T("456")</f>
        <v>456</v>
      </c>
      <c r="E2461" t="str">
        <f t="shared" ref="E2461:E2524" si="385">T("담화공")</f>
        <v>담화공</v>
      </c>
      <c r="H2461" t="str">
        <f t="shared" si="384"/>
        <v>스토리위즈</v>
      </c>
      <c r="I2461" t="str">
        <f t="shared" ref="I2461:I2524" si="386">T("디버프 마스터")</f>
        <v>디버프 마스터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>
        <v>140</v>
      </c>
      <c r="AT2461" t="str">
        <f t="shared" ref="AT2461:AT2524" si="387">T("9791137602663")</f>
        <v>9791137602663</v>
      </c>
      <c r="AV2461" t="str">
        <f t="shared" ref="AV2461:AV2524" si="388">T("판타지 웹소설 &gt; 퓨전 판타지")</f>
        <v>판타지 웹소설 &gt; 퓨전 판타지</v>
      </c>
    </row>
    <row r="2462" spans="1:48" x14ac:dyDescent="0.4">
      <c r="A2462">
        <v>2313012849</v>
      </c>
      <c r="B2462">
        <v>2313013305</v>
      </c>
      <c r="C2462" t="str">
        <f>T("디버프 마스터 457화")</f>
        <v>디버프 마스터 457화</v>
      </c>
      <c r="D2462" t="str">
        <f>T("457")</f>
        <v>457</v>
      </c>
      <c r="E2462" t="str">
        <f t="shared" si="385"/>
        <v>담화공</v>
      </c>
      <c r="H2462" t="str">
        <f t="shared" si="384"/>
        <v>스토리위즈</v>
      </c>
      <c r="I2462" t="str">
        <f t="shared" si="386"/>
        <v>디버프 마스터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>
        <v>140</v>
      </c>
      <c r="AT2462" t="str">
        <f t="shared" si="387"/>
        <v>9791137602663</v>
      </c>
      <c r="AV2462" t="str">
        <f t="shared" si="388"/>
        <v>판타지 웹소설 &gt; 퓨전 판타지</v>
      </c>
    </row>
    <row r="2463" spans="1:48" x14ac:dyDescent="0.4">
      <c r="A2463">
        <v>2313012849</v>
      </c>
      <c r="B2463">
        <v>2313013306</v>
      </c>
      <c r="C2463" t="str">
        <f>T("디버프 마스터 458화")</f>
        <v>디버프 마스터 458화</v>
      </c>
      <c r="D2463" t="str">
        <f>T("458")</f>
        <v>458</v>
      </c>
      <c r="E2463" t="str">
        <f t="shared" si="385"/>
        <v>담화공</v>
      </c>
      <c r="H2463" t="str">
        <f t="shared" si="384"/>
        <v>스토리위즈</v>
      </c>
      <c r="I2463" t="str">
        <f t="shared" si="386"/>
        <v>디버프 마스터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>
        <v>140</v>
      </c>
      <c r="AT2463" t="str">
        <f t="shared" si="387"/>
        <v>9791137602663</v>
      </c>
      <c r="AV2463" t="str">
        <f t="shared" si="388"/>
        <v>판타지 웹소설 &gt; 퓨전 판타지</v>
      </c>
    </row>
    <row r="2464" spans="1:48" x14ac:dyDescent="0.4">
      <c r="A2464">
        <v>2313012849</v>
      </c>
      <c r="B2464">
        <v>2313013307</v>
      </c>
      <c r="C2464" t="str">
        <f>T("디버프 마스터 459화")</f>
        <v>디버프 마스터 459화</v>
      </c>
      <c r="D2464" t="str">
        <f>T("459")</f>
        <v>459</v>
      </c>
      <c r="E2464" t="str">
        <f t="shared" si="385"/>
        <v>담화공</v>
      </c>
      <c r="H2464" t="str">
        <f t="shared" si="384"/>
        <v>스토리위즈</v>
      </c>
      <c r="I2464" t="str">
        <f t="shared" si="386"/>
        <v>디버프 마스터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>
        <v>140</v>
      </c>
      <c r="AT2464" t="str">
        <f t="shared" si="387"/>
        <v>9791137602663</v>
      </c>
      <c r="AV2464" t="str">
        <f t="shared" si="388"/>
        <v>판타지 웹소설 &gt; 퓨전 판타지</v>
      </c>
    </row>
    <row r="2465" spans="1:48" x14ac:dyDescent="0.4">
      <c r="A2465">
        <v>2313012849</v>
      </c>
      <c r="B2465">
        <v>2313013308</v>
      </c>
      <c r="C2465" t="str">
        <f>T("디버프 마스터 460화")</f>
        <v>디버프 마스터 460화</v>
      </c>
      <c r="D2465" t="str">
        <f>T("460")</f>
        <v>460</v>
      </c>
      <c r="E2465" t="str">
        <f t="shared" si="385"/>
        <v>담화공</v>
      </c>
      <c r="H2465" t="str">
        <f t="shared" si="384"/>
        <v>스토리위즈</v>
      </c>
      <c r="I2465" t="str">
        <f t="shared" si="386"/>
        <v>디버프 마스터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>
        <v>140</v>
      </c>
      <c r="AT2465" t="str">
        <f t="shared" si="387"/>
        <v>9791137602663</v>
      </c>
      <c r="AV2465" t="str">
        <f t="shared" si="388"/>
        <v>판타지 웹소설 &gt; 퓨전 판타지</v>
      </c>
    </row>
    <row r="2466" spans="1:48" x14ac:dyDescent="0.4">
      <c r="A2466">
        <v>2313012849</v>
      </c>
      <c r="B2466">
        <v>2313013309</v>
      </c>
      <c r="C2466" t="str">
        <f>T("디버프 마스터 461화")</f>
        <v>디버프 마스터 461화</v>
      </c>
      <c r="D2466" t="str">
        <f>T("461")</f>
        <v>461</v>
      </c>
      <c r="E2466" t="str">
        <f t="shared" si="385"/>
        <v>담화공</v>
      </c>
      <c r="H2466" t="str">
        <f t="shared" si="384"/>
        <v>스토리위즈</v>
      </c>
      <c r="I2466" t="str">
        <f t="shared" si="386"/>
        <v>디버프 마스터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>
        <v>140</v>
      </c>
      <c r="AT2466" t="str">
        <f t="shared" si="387"/>
        <v>9791137602663</v>
      </c>
      <c r="AV2466" t="str">
        <f t="shared" si="388"/>
        <v>판타지 웹소설 &gt; 퓨전 판타지</v>
      </c>
    </row>
    <row r="2467" spans="1:48" x14ac:dyDescent="0.4">
      <c r="A2467">
        <v>2313012849</v>
      </c>
      <c r="B2467">
        <v>2313013310</v>
      </c>
      <c r="C2467" t="str">
        <f>T("디버프 마스터 462화")</f>
        <v>디버프 마스터 462화</v>
      </c>
      <c r="D2467" t="str">
        <f>T("462")</f>
        <v>462</v>
      </c>
      <c r="E2467" t="str">
        <f t="shared" si="385"/>
        <v>담화공</v>
      </c>
      <c r="H2467" t="str">
        <f t="shared" ref="H2467:H2530" si="389">T("스토리위즈")</f>
        <v>스토리위즈</v>
      </c>
      <c r="I2467" t="str">
        <f t="shared" si="386"/>
        <v>디버프 마스터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>
        <v>140</v>
      </c>
      <c r="AT2467" t="str">
        <f t="shared" si="387"/>
        <v>9791137602663</v>
      </c>
      <c r="AV2467" t="str">
        <f t="shared" si="388"/>
        <v>판타지 웹소설 &gt; 퓨전 판타지</v>
      </c>
    </row>
    <row r="2468" spans="1:48" x14ac:dyDescent="0.4">
      <c r="A2468">
        <v>2313012849</v>
      </c>
      <c r="B2468">
        <v>2313013311</v>
      </c>
      <c r="C2468" t="str">
        <f>T("디버프 마스터 463화")</f>
        <v>디버프 마스터 463화</v>
      </c>
      <c r="D2468" t="str">
        <f>T("463")</f>
        <v>463</v>
      </c>
      <c r="E2468" t="str">
        <f t="shared" si="385"/>
        <v>담화공</v>
      </c>
      <c r="H2468" t="str">
        <f t="shared" si="389"/>
        <v>스토리위즈</v>
      </c>
      <c r="I2468" t="str">
        <f t="shared" si="386"/>
        <v>디버프 마스터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>
        <v>140</v>
      </c>
      <c r="AT2468" t="str">
        <f t="shared" si="387"/>
        <v>9791137602663</v>
      </c>
      <c r="AV2468" t="str">
        <f t="shared" si="388"/>
        <v>판타지 웹소설 &gt; 퓨전 판타지</v>
      </c>
    </row>
    <row r="2469" spans="1:48" x14ac:dyDescent="0.4">
      <c r="A2469">
        <v>2313012849</v>
      </c>
      <c r="B2469">
        <v>2313013312</v>
      </c>
      <c r="C2469" t="str">
        <f>T("디버프 마스터 464화")</f>
        <v>디버프 마스터 464화</v>
      </c>
      <c r="D2469" t="str">
        <f>T("464")</f>
        <v>464</v>
      </c>
      <c r="E2469" t="str">
        <f t="shared" si="385"/>
        <v>담화공</v>
      </c>
      <c r="H2469" t="str">
        <f t="shared" si="389"/>
        <v>스토리위즈</v>
      </c>
      <c r="I2469" t="str">
        <f t="shared" si="386"/>
        <v>디버프 마스터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>
        <v>140</v>
      </c>
      <c r="AT2469" t="str">
        <f t="shared" si="387"/>
        <v>9791137602663</v>
      </c>
      <c r="AV2469" t="str">
        <f t="shared" si="388"/>
        <v>판타지 웹소설 &gt; 퓨전 판타지</v>
      </c>
    </row>
    <row r="2470" spans="1:48" x14ac:dyDescent="0.4">
      <c r="A2470">
        <v>2313012849</v>
      </c>
      <c r="B2470">
        <v>2313013313</v>
      </c>
      <c r="C2470" t="str">
        <f>T("디버프 마스터 465화")</f>
        <v>디버프 마스터 465화</v>
      </c>
      <c r="D2470" t="str">
        <f>T("465")</f>
        <v>465</v>
      </c>
      <c r="E2470" t="str">
        <f t="shared" si="385"/>
        <v>담화공</v>
      </c>
      <c r="H2470" t="str">
        <f t="shared" si="389"/>
        <v>스토리위즈</v>
      </c>
      <c r="I2470" t="str">
        <f t="shared" si="386"/>
        <v>디버프 마스터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>
        <v>140</v>
      </c>
      <c r="AT2470" t="str">
        <f t="shared" si="387"/>
        <v>9791137602663</v>
      </c>
      <c r="AV2470" t="str">
        <f t="shared" si="388"/>
        <v>판타지 웹소설 &gt; 퓨전 판타지</v>
      </c>
    </row>
    <row r="2471" spans="1:48" x14ac:dyDescent="0.4">
      <c r="A2471">
        <v>2313012849</v>
      </c>
      <c r="B2471">
        <v>2313013314</v>
      </c>
      <c r="C2471" t="str">
        <f>T("디버프 마스터 466화")</f>
        <v>디버프 마스터 466화</v>
      </c>
      <c r="D2471" t="str">
        <f>T("466")</f>
        <v>466</v>
      </c>
      <c r="E2471" t="str">
        <f t="shared" si="385"/>
        <v>담화공</v>
      </c>
      <c r="H2471" t="str">
        <f t="shared" si="389"/>
        <v>스토리위즈</v>
      </c>
      <c r="I2471" t="str">
        <f t="shared" si="386"/>
        <v>디버프 마스터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>
        <v>140</v>
      </c>
      <c r="AT2471" t="str">
        <f t="shared" si="387"/>
        <v>9791137602663</v>
      </c>
      <c r="AV2471" t="str">
        <f t="shared" si="388"/>
        <v>판타지 웹소설 &gt; 퓨전 판타지</v>
      </c>
    </row>
    <row r="2472" spans="1:48" x14ac:dyDescent="0.4">
      <c r="A2472">
        <v>2313012849</v>
      </c>
      <c r="B2472">
        <v>2313013315</v>
      </c>
      <c r="C2472" t="str">
        <f>T("디버프 마스터 467화")</f>
        <v>디버프 마스터 467화</v>
      </c>
      <c r="D2472" t="str">
        <f>T("467")</f>
        <v>467</v>
      </c>
      <c r="E2472" t="str">
        <f t="shared" si="385"/>
        <v>담화공</v>
      </c>
      <c r="H2472" t="str">
        <f t="shared" si="389"/>
        <v>스토리위즈</v>
      </c>
      <c r="I2472" t="str">
        <f t="shared" si="386"/>
        <v>디버프 마스터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>
        <v>140</v>
      </c>
      <c r="AT2472" t="str">
        <f t="shared" si="387"/>
        <v>9791137602663</v>
      </c>
      <c r="AV2472" t="str">
        <f t="shared" si="388"/>
        <v>판타지 웹소설 &gt; 퓨전 판타지</v>
      </c>
    </row>
    <row r="2473" spans="1:48" x14ac:dyDescent="0.4">
      <c r="A2473">
        <v>2313012849</v>
      </c>
      <c r="B2473">
        <v>2313013316</v>
      </c>
      <c r="C2473" t="str">
        <f>T("디버프 마스터 468화")</f>
        <v>디버프 마스터 468화</v>
      </c>
      <c r="D2473" t="str">
        <f>T("468")</f>
        <v>468</v>
      </c>
      <c r="E2473" t="str">
        <f t="shared" si="385"/>
        <v>담화공</v>
      </c>
      <c r="H2473" t="str">
        <f t="shared" si="389"/>
        <v>스토리위즈</v>
      </c>
      <c r="I2473" t="str">
        <f t="shared" si="386"/>
        <v>디버프 마스터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>
        <v>140</v>
      </c>
      <c r="AT2473" t="str">
        <f t="shared" si="387"/>
        <v>9791137602663</v>
      </c>
      <c r="AV2473" t="str">
        <f t="shared" si="388"/>
        <v>판타지 웹소설 &gt; 퓨전 판타지</v>
      </c>
    </row>
    <row r="2474" spans="1:48" x14ac:dyDescent="0.4">
      <c r="A2474">
        <v>2313012849</v>
      </c>
      <c r="B2474">
        <v>2313013317</v>
      </c>
      <c r="C2474" t="str">
        <f>T("디버프 마스터 469화")</f>
        <v>디버프 마스터 469화</v>
      </c>
      <c r="D2474" t="str">
        <f>T("469")</f>
        <v>469</v>
      </c>
      <c r="E2474" t="str">
        <f t="shared" si="385"/>
        <v>담화공</v>
      </c>
      <c r="H2474" t="str">
        <f t="shared" si="389"/>
        <v>스토리위즈</v>
      </c>
      <c r="I2474" t="str">
        <f t="shared" si="386"/>
        <v>디버프 마스터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>
        <v>140</v>
      </c>
      <c r="AT2474" t="str">
        <f t="shared" si="387"/>
        <v>9791137602663</v>
      </c>
      <c r="AV2474" t="str">
        <f t="shared" si="388"/>
        <v>판타지 웹소설 &gt; 퓨전 판타지</v>
      </c>
    </row>
    <row r="2475" spans="1:48" x14ac:dyDescent="0.4">
      <c r="A2475">
        <v>2313012849</v>
      </c>
      <c r="B2475">
        <v>2313013318</v>
      </c>
      <c r="C2475" t="str">
        <f>T("디버프 마스터 470화")</f>
        <v>디버프 마스터 470화</v>
      </c>
      <c r="D2475" t="str">
        <f>T("470")</f>
        <v>470</v>
      </c>
      <c r="E2475" t="str">
        <f t="shared" si="385"/>
        <v>담화공</v>
      </c>
      <c r="H2475" t="str">
        <f t="shared" si="389"/>
        <v>스토리위즈</v>
      </c>
      <c r="I2475" t="str">
        <f t="shared" si="386"/>
        <v>디버프 마스터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>
        <v>140</v>
      </c>
      <c r="AT2475" t="str">
        <f t="shared" si="387"/>
        <v>9791137602663</v>
      </c>
      <c r="AV2475" t="str">
        <f t="shared" si="388"/>
        <v>판타지 웹소설 &gt; 퓨전 판타지</v>
      </c>
    </row>
    <row r="2476" spans="1:48" x14ac:dyDescent="0.4">
      <c r="A2476">
        <v>2313012849</v>
      </c>
      <c r="B2476">
        <v>2313013319</v>
      </c>
      <c r="C2476" t="str">
        <f>T("디버프 마스터 471화")</f>
        <v>디버프 마스터 471화</v>
      </c>
      <c r="D2476" t="str">
        <f>T("471")</f>
        <v>471</v>
      </c>
      <c r="E2476" t="str">
        <f t="shared" si="385"/>
        <v>담화공</v>
      </c>
      <c r="H2476" t="str">
        <f t="shared" si="389"/>
        <v>스토리위즈</v>
      </c>
      <c r="I2476" t="str">
        <f t="shared" si="386"/>
        <v>디버프 마스터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>
        <v>140</v>
      </c>
      <c r="AT2476" t="str">
        <f t="shared" si="387"/>
        <v>9791137602663</v>
      </c>
      <c r="AV2476" t="str">
        <f t="shared" si="388"/>
        <v>판타지 웹소설 &gt; 퓨전 판타지</v>
      </c>
    </row>
    <row r="2477" spans="1:48" x14ac:dyDescent="0.4">
      <c r="A2477">
        <v>2313012849</v>
      </c>
      <c r="B2477">
        <v>2313013320</v>
      </c>
      <c r="C2477" t="str">
        <f>T("디버프 마스터 472화")</f>
        <v>디버프 마스터 472화</v>
      </c>
      <c r="D2477" t="str">
        <f>T("472")</f>
        <v>472</v>
      </c>
      <c r="E2477" t="str">
        <f t="shared" si="385"/>
        <v>담화공</v>
      </c>
      <c r="H2477" t="str">
        <f t="shared" si="389"/>
        <v>스토리위즈</v>
      </c>
      <c r="I2477" t="str">
        <f t="shared" si="386"/>
        <v>디버프 마스터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>
        <v>140</v>
      </c>
      <c r="AT2477" t="str">
        <f t="shared" si="387"/>
        <v>9791137602663</v>
      </c>
      <c r="AV2477" t="str">
        <f t="shared" si="388"/>
        <v>판타지 웹소설 &gt; 퓨전 판타지</v>
      </c>
    </row>
    <row r="2478" spans="1:48" x14ac:dyDescent="0.4">
      <c r="A2478">
        <v>2313012849</v>
      </c>
      <c r="B2478">
        <v>2313013321</v>
      </c>
      <c r="C2478" t="str">
        <f>T("디버프 마스터 473화")</f>
        <v>디버프 마스터 473화</v>
      </c>
      <c r="D2478" t="str">
        <f>T("473")</f>
        <v>473</v>
      </c>
      <c r="E2478" t="str">
        <f t="shared" si="385"/>
        <v>담화공</v>
      </c>
      <c r="H2478" t="str">
        <f t="shared" si="389"/>
        <v>스토리위즈</v>
      </c>
      <c r="I2478" t="str">
        <f t="shared" si="386"/>
        <v>디버프 마스터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>
        <v>140</v>
      </c>
      <c r="AT2478" t="str">
        <f t="shared" si="387"/>
        <v>9791137602663</v>
      </c>
      <c r="AV2478" t="str">
        <f t="shared" si="388"/>
        <v>판타지 웹소설 &gt; 퓨전 판타지</v>
      </c>
    </row>
    <row r="2479" spans="1:48" x14ac:dyDescent="0.4">
      <c r="A2479">
        <v>2313012849</v>
      </c>
      <c r="B2479">
        <v>2313013322</v>
      </c>
      <c r="C2479" t="str">
        <f>T("디버프 마스터 474화")</f>
        <v>디버프 마스터 474화</v>
      </c>
      <c r="D2479" t="str">
        <f>T("474")</f>
        <v>474</v>
      </c>
      <c r="E2479" t="str">
        <f t="shared" si="385"/>
        <v>담화공</v>
      </c>
      <c r="H2479" t="str">
        <f t="shared" si="389"/>
        <v>스토리위즈</v>
      </c>
      <c r="I2479" t="str">
        <f t="shared" si="386"/>
        <v>디버프 마스터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>
        <v>140</v>
      </c>
      <c r="AT2479" t="str">
        <f t="shared" si="387"/>
        <v>9791137602663</v>
      </c>
      <c r="AV2479" t="str">
        <f t="shared" si="388"/>
        <v>판타지 웹소설 &gt; 퓨전 판타지</v>
      </c>
    </row>
    <row r="2480" spans="1:48" x14ac:dyDescent="0.4">
      <c r="A2480">
        <v>2313012849</v>
      </c>
      <c r="B2480">
        <v>2313013323</v>
      </c>
      <c r="C2480" t="str">
        <f>T("디버프 마스터 475화")</f>
        <v>디버프 마스터 475화</v>
      </c>
      <c r="D2480" t="str">
        <f>T("475")</f>
        <v>475</v>
      </c>
      <c r="E2480" t="str">
        <f t="shared" si="385"/>
        <v>담화공</v>
      </c>
      <c r="H2480" t="str">
        <f t="shared" si="389"/>
        <v>스토리위즈</v>
      </c>
      <c r="I2480" t="str">
        <f t="shared" si="386"/>
        <v>디버프 마스터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>
        <v>140</v>
      </c>
      <c r="AT2480" t="str">
        <f t="shared" si="387"/>
        <v>9791137602663</v>
      </c>
      <c r="AV2480" t="str">
        <f t="shared" si="388"/>
        <v>판타지 웹소설 &gt; 퓨전 판타지</v>
      </c>
    </row>
    <row r="2481" spans="1:48" x14ac:dyDescent="0.4">
      <c r="A2481">
        <v>2313012849</v>
      </c>
      <c r="B2481">
        <v>2313013324</v>
      </c>
      <c r="C2481" t="str">
        <f>T("디버프 마스터 476화")</f>
        <v>디버프 마스터 476화</v>
      </c>
      <c r="D2481" t="str">
        <f>T("476")</f>
        <v>476</v>
      </c>
      <c r="E2481" t="str">
        <f t="shared" si="385"/>
        <v>담화공</v>
      </c>
      <c r="H2481" t="str">
        <f t="shared" si="389"/>
        <v>스토리위즈</v>
      </c>
      <c r="I2481" t="str">
        <f t="shared" si="386"/>
        <v>디버프 마스터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>
        <v>140</v>
      </c>
      <c r="AT2481" t="str">
        <f t="shared" si="387"/>
        <v>9791137602663</v>
      </c>
      <c r="AV2481" t="str">
        <f t="shared" si="388"/>
        <v>판타지 웹소설 &gt; 퓨전 판타지</v>
      </c>
    </row>
    <row r="2482" spans="1:48" x14ac:dyDescent="0.4">
      <c r="A2482">
        <v>2313012849</v>
      </c>
      <c r="B2482">
        <v>2313013325</v>
      </c>
      <c r="C2482" t="str">
        <f>T("디버프 마스터 477화")</f>
        <v>디버프 마스터 477화</v>
      </c>
      <c r="D2482" t="str">
        <f>T("477")</f>
        <v>477</v>
      </c>
      <c r="E2482" t="str">
        <f t="shared" si="385"/>
        <v>담화공</v>
      </c>
      <c r="H2482" t="str">
        <f t="shared" si="389"/>
        <v>스토리위즈</v>
      </c>
      <c r="I2482" t="str">
        <f t="shared" si="386"/>
        <v>디버프 마스터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>
        <v>140</v>
      </c>
      <c r="AT2482" t="str">
        <f t="shared" si="387"/>
        <v>9791137602663</v>
      </c>
      <c r="AV2482" t="str">
        <f t="shared" si="388"/>
        <v>판타지 웹소설 &gt; 퓨전 판타지</v>
      </c>
    </row>
    <row r="2483" spans="1:48" x14ac:dyDescent="0.4">
      <c r="A2483">
        <v>2313012849</v>
      </c>
      <c r="B2483">
        <v>2313013326</v>
      </c>
      <c r="C2483" t="str">
        <f>T("디버프 마스터 478화")</f>
        <v>디버프 마스터 478화</v>
      </c>
      <c r="D2483" t="str">
        <f>T("478")</f>
        <v>478</v>
      </c>
      <c r="E2483" t="str">
        <f t="shared" si="385"/>
        <v>담화공</v>
      </c>
      <c r="H2483" t="str">
        <f t="shared" si="389"/>
        <v>스토리위즈</v>
      </c>
      <c r="I2483" t="str">
        <f t="shared" si="386"/>
        <v>디버프 마스터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>
        <v>140</v>
      </c>
      <c r="AT2483" t="str">
        <f t="shared" si="387"/>
        <v>9791137602663</v>
      </c>
      <c r="AV2483" t="str">
        <f t="shared" si="388"/>
        <v>판타지 웹소설 &gt; 퓨전 판타지</v>
      </c>
    </row>
    <row r="2484" spans="1:48" x14ac:dyDescent="0.4">
      <c r="A2484">
        <v>2313012849</v>
      </c>
      <c r="B2484">
        <v>2313013327</v>
      </c>
      <c r="C2484" t="str">
        <f>T("디버프 마스터 479화")</f>
        <v>디버프 마스터 479화</v>
      </c>
      <c r="D2484" t="str">
        <f>T("479")</f>
        <v>479</v>
      </c>
      <c r="E2484" t="str">
        <f t="shared" si="385"/>
        <v>담화공</v>
      </c>
      <c r="H2484" t="str">
        <f t="shared" si="389"/>
        <v>스토리위즈</v>
      </c>
      <c r="I2484" t="str">
        <f t="shared" si="386"/>
        <v>디버프 마스터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>
        <v>140</v>
      </c>
      <c r="AT2484" t="str">
        <f t="shared" si="387"/>
        <v>9791137602663</v>
      </c>
      <c r="AV2484" t="str">
        <f t="shared" si="388"/>
        <v>판타지 웹소설 &gt; 퓨전 판타지</v>
      </c>
    </row>
    <row r="2485" spans="1:48" x14ac:dyDescent="0.4">
      <c r="A2485">
        <v>2313012849</v>
      </c>
      <c r="B2485">
        <v>2313013328</v>
      </c>
      <c r="C2485" t="str">
        <f>T("디버프 마스터 480화")</f>
        <v>디버프 마스터 480화</v>
      </c>
      <c r="D2485" t="str">
        <f>T("480")</f>
        <v>480</v>
      </c>
      <c r="E2485" t="str">
        <f t="shared" si="385"/>
        <v>담화공</v>
      </c>
      <c r="H2485" t="str">
        <f t="shared" si="389"/>
        <v>스토리위즈</v>
      </c>
      <c r="I2485" t="str">
        <f t="shared" si="386"/>
        <v>디버프 마스터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>
        <v>140</v>
      </c>
      <c r="AT2485" t="str">
        <f t="shared" si="387"/>
        <v>9791137602663</v>
      </c>
      <c r="AV2485" t="str">
        <f t="shared" si="388"/>
        <v>판타지 웹소설 &gt; 퓨전 판타지</v>
      </c>
    </row>
    <row r="2486" spans="1:48" x14ac:dyDescent="0.4">
      <c r="A2486">
        <v>2313012849</v>
      </c>
      <c r="B2486">
        <v>2313013329</v>
      </c>
      <c r="C2486" t="str">
        <f>T("디버프 마스터 481화")</f>
        <v>디버프 마스터 481화</v>
      </c>
      <c r="D2486" t="str">
        <f>T("481")</f>
        <v>481</v>
      </c>
      <c r="E2486" t="str">
        <f t="shared" si="385"/>
        <v>담화공</v>
      </c>
      <c r="H2486" t="str">
        <f t="shared" si="389"/>
        <v>스토리위즈</v>
      </c>
      <c r="I2486" t="str">
        <f t="shared" si="386"/>
        <v>디버프 마스터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>
        <v>140</v>
      </c>
      <c r="AT2486" t="str">
        <f t="shared" si="387"/>
        <v>9791137602663</v>
      </c>
      <c r="AV2486" t="str">
        <f t="shared" si="388"/>
        <v>판타지 웹소설 &gt; 퓨전 판타지</v>
      </c>
    </row>
    <row r="2487" spans="1:48" x14ac:dyDescent="0.4">
      <c r="A2487">
        <v>2313012849</v>
      </c>
      <c r="B2487">
        <v>2313013330</v>
      </c>
      <c r="C2487" t="str">
        <f>T("디버프 마스터 482화")</f>
        <v>디버프 마스터 482화</v>
      </c>
      <c r="D2487" t="str">
        <f>T("482")</f>
        <v>482</v>
      </c>
      <c r="E2487" t="str">
        <f t="shared" si="385"/>
        <v>담화공</v>
      </c>
      <c r="H2487" t="str">
        <f t="shared" si="389"/>
        <v>스토리위즈</v>
      </c>
      <c r="I2487" t="str">
        <f t="shared" si="386"/>
        <v>디버프 마스터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>
        <v>140</v>
      </c>
      <c r="AT2487" t="str">
        <f t="shared" si="387"/>
        <v>9791137602663</v>
      </c>
      <c r="AV2487" t="str">
        <f t="shared" si="388"/>
        <v>판타지 웹소설 &gt; 퓨전 판타지</v>
      </c>
    </row>
    <row r="2488" spans="1:48" x14ac:dyDescent="0.4">
      <c r="A2488">
        <v>2313012849</v>
      </c>
      <c r="B2488">
        <v>2313013331</v>
      </c>
      <c r="C2488" t="str">
        <f>T("디버프 마스터 483화")</f>
        <v>디버프 마스터 483화</v>
      </c>
      <c r="D2488" t="str">
        <f>T("483")</f>
        <v>483</v>
      </c>
      <c r="E2488" t="str">
        <f t="shared" si="385"/>
        <v>담화공</v>
      </c>
      <c r="H2488" t="str">
        <f t="shared" si="389"/>
        <v>스토리위즈</v>
      </c>
      <c r="I2488" t="str">
        <f t="shared" si="386"/>
        <v>디버프 마스터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>
        <v>140</v>
      </c>
      <c r="AT2488" t="str">
        <f t="shared" si="387"/>
        <v>9791137602663</v>
      </c>
      <c r="AV2488" t="str">
        <f t="shared" si="388"/>
        <v>판타지 웹소설 &gt; 퓨전 판타지</v>
      </c>
    </row>
    <row r="2489" spans="1:48" x14ac:dyDescent="0.4">
      <c r="A2489">
        <v>2313012849</v>
      </c>
      <c r="B2489">
        <v>2313013332</v>
      </c>
      <c r="C2489" t="str">
        <f>T("디버프 마스터 484화")</f>
        <v>디버프 마스터 484화</v>
      </c>
      <c r="D2489" t="str">
        <f>T("484")</f>
        <v>484</v>
      </c>
      <c r="E2489" t="str">
        <f t="shared" si="385"/>
        <v>담화공</v>
      </c>
      <c r="H2489" t="str">
        <f t="shared" si="389"/>
        <v>스토리위즈</v>
      </c>
      <c r="I2489" t="str">
        <f t="shared" si="386"/>
        <v>디버프 마스터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>
        <v>140</v>
      </c>
      <c r="AT2489" t="str">
        <f t="shared" si="387"/>
        <v>9791137602663</v>
      </c>
      <c r="AV2489" t="str">
        <f t="shared" si="388"/>
        <v>판타지 웹소설 &gt; 퓨전 판타지</v>
      </c>
    </row>
    <row r="2490" spans="1:48" x14ac:dyDescent="0.4">
      <c r="A2490">
        <v>2313012849</v>
      </c>
      <c r="B2490">
        <v>2313013333</v>
      </c>
      <c r="C2490" t="str">
        <f>T("디버프 마스터 485화")</f>
        <v>디버프 마스터 485화</v>
      </c>
      <c r="D2490" t="str">
        <f>T("485")</f>
        <v>485</v>
      </c>
      <c r="E2490" t="str">
        <f t="shared" si="385"/>
        <v>담화공</v>
      </c>
      <c r="H2490" t="str">
        <f t="shared" si="389"/>
        <v>스토리위즈</v>
      </c>
      <c r="I2490" t="str">
        <f t="shared" si="386"/>
        <v>디버프 마스터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>
        <v>140</v>
      </c>
      <c r="AT2490" t="str">
        <f t="shared" si="387"/>
        <v>9791137602663</v>
      </c>
      <c r="AV2490" t="str">
        <f t="shared" si="388"/>
        <v>판타지 웹소설 &gt; 퓨전 판타지</v>
      </c>
    </row>
    <row r="2491" spans="1:48" x14ac:dyDescent="0.4">
      <c r="A2491">
        <v>2313012849</v>
      </c>
      <c r="B2491">
        <v>2313013334</v>
      </c>
      <c r="C2491" t="str">
        <f>T("디버프 마스터 486화")</f>
        <v>디버프 마스터 486화</v>
      </c>
      <c r="D2491" t="str">
        <f>T("486")</f>
        <v>486</v>
      </c>
      <c r="E2491" t="str">
        <f t="shared" si="385"/>
        <v>담화공</v>
      </c>
      <c r="H2491" t="str">
        <f t="shared" si="389"/>
        <v>스토리위즈</v>
      </c>
      <c r="I2491" t="str">
        <f t="shared" si="386"/>
        <v>디버프 마스터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>
        <v>140</v>
      </c>
      <c r="AT2491" t="str">
        <f t="shared" si="387"/>
        <v>9791137602663</v>
      </c>
      <c r="AV2491" t="str">
        <f t="shared" si="388"/>
        <v>판타지 웹소설 &gt; 퓨전 판타지</v>
      </c>
    </row>
    <row r="2492" spans="1:48" x14ac:dyDescent="0.4">
      <c r="A2492">
        <v>2313012849</v>
      </c>
      <c r="B2492">
        <v>2313013335</v>
      </c>
      <c r="C2492" t="str">
        <f>T("디버프 마스터 487화")</f>
        <v>디버프 마스터 487화</v>
      </c>
      <c r="D2492" t="str">
        <f>T("487")</f>
        <v>487</v>
      </c>
      <c r="E2492" t="str">
        <f t="shared" si="385"/>
        <v>담화공</v>
      </c>
      <c r="H2492" t="str">
        <f t="shared" si="389"/>
        <v>스토리위즈</v>
      </c>
      <c r="I2492" t="str">
        <f t="shared" si="386"/>
        <v>디버프 마스터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>
        <v>140</v>
      </c>
      <c r="AT2492" t="str">
        <f t="shared" si="387"/>
        <v>9791137602663</v>
      </c>
      <c r="AV2492" t="str">
        <f t="shared" si="388"/>
        <v>판타지 웹소설 &gt; 퓨전 판타지</v>
      </c>
    </row>
    <row r="2493" spans="1:48" x14ac:dyDescent="0.4">
      <c r="A2493">
        <v>2313012849</v>
      </c>
      <c r="B2493">
        <v>2313013336</v>
      </c>
      <c r="C2493" t="str">
        <f>T("디버프 마스터 488화")</f>
        <v>디버프 마스터 488화</v>
      </c>
      <c r="D2493" t="str">
        <f>T("488")</f>
        <v>488</v>
      </c>
      <c r="E2493" t="str">
        <f t="shared" si="385"/>
        <v>담화공</v>
      </c>
      <c r="H2493" t="str">
        <f t="shared" si="389"/>
        <v>스토리위즈</v>
      </c>
      <c r="I2493" t="str">
        <f t="shared" si="386"/>
        <v>디버프 마스터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>
        <v>140</v>
      </c>
      <c r="AT2493" t="str">
        <f t="shared" si="387"/>
        <v>9791137602663</v>
      </c>
      <c r="AV2493" t="str">
        <f t="shared" si="388"/>
        <v>판타지 웹소설 &gt; 퓨전 판타지</v>
      </c>
    </row>
    <row r="2494" spans="1:48" x14ac:dyDescent="0.4">
      <c r="A2494">
        <v>2313012849</v>
      </c>
      <c r="B2494">
        <v>2313013337</v>
      </c>
      <c r="C2494" t="str">
        <f>T("디버프 마스터 489화")</f>
        <v>디버프 마스터 489화</v>
      </c>
      <c r="D2494" t="str">
        <f>T("489")</f>
        <v>489</v>
      </c>
      <c r="E2494" t="str">
        <f t="shared" si="385"/>
        <v>담화공</v>
      </c>
      <c r="H2494" t="str">
        <f t="shared" si="389"/>
        <v>스토리위즈</v>
      </c>
      <c r="I2494" t="str">
        <f t="shared" si="386"/>
        <v>디버프 마스터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>
        <v>140</v>
      </c>
      <c r="AT2494" t="str">
        <f t="shared" si="387"/>
        <v>9791137602663</v>
      </c>
      <c r="AV2494" t="str">
        <f t="shared" si="388"/>
        <v>판타지 웹소설 &gt; 퓨전 판타지</v>
      </c>
    </row>
    <row r="2495" spans="1:48" x14ac:dyDescent="0.4">
      <c r="A2495">
        <v>2313012849</v>
      </c>
      <c r="B2495">
        <v>2313013338</v>
      </c>
      <c r="C2495" t="str">
        <f>T("디버프 마스터 490화")</f>
        <v>디버프 마스터 490화</v>
      </c>
      <c r="D2495" t="str">
        <f>T("490")</f>
        <v>490</v>
      </c>
      <c r="E2495" t="str">
        <f t="shared" si="385"/>
        <v>담화공</v>
      </c>
      <c r="H2495" t="str">
        <f t="shared" si="389"/>
        <v>스토리위즈</v>
      </c>
      <c r="I2495" t="str">
        <f t="shared" si="386"/>
        <v>디버프 마스터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200</v>
      </c>
      <c r="AL2495">
        <v>0</v>
      </c>
      <c r="AM2495">
        <v>0</v>
      </c>
      <c r="AN2495">
        <v>0</v>
      </c>
      <c r="AO2495">
        <v>0</v>
      </c>
      <c r="AP2495">
        <v>140</v>
      </c>
      <c r="AT2495" t="str">
        <f t="shared" si="387"/>
        <v>9791137602663</v>
      </c>
      <c r="AV2495" t="str">
        <f t="shared" si="388"/>
        <v>판타지 웹소설 &gt; 퓨전 판타지</v>
      </c>
    </row>
    <row r="2496" spans="1:48" x14ac:dyDescent="0.4">
      <c r="A2496">
        <v>2313012849</v>
      </c>
      <c r="B2496">
        <v>2313013339</v>
      </c>
      <c r="C2496" t="str">
        <f>T("디버프 마스터 491화")</f>
        <v>디버프 마스터 491화</v>
      </c>
      <c r="D2496" t="str">
        <f>T("491")</f>
        <v>491</v>
      </c>
      <c r="E2496" t="str">
        <f t="shared" si="385"/>
        <v>담화공</v>
      </c>
      <c r="H2496" t="str">
        <f t="shared" si="389"/>
        <v>스토리위즈</v>
      </c>
      <c r="I2496" t="str">
        <f t="shared" si="386"/>
        <v>디버프 마스터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200</v>
      </c>
      <c r="AL2496">
        <v>0</v>
      </c>
      <c r="AM2496">
        <v>0</v>
      </c>
      <c r="AN2496">
        <v>0</v>
      </c>
      <c r="AO2496">
        <v>0</v>
      </c>
      <c r="AP2496">
        <v>140</v>
      </c>
      <c r="AT2496" t="str">
        <f t="shared" si="387"/>
        <v>9791137602663</v>
      </c>
      <c r="AV2496" t="str">
        <f t="shared" si="388"/>
        <v>판타지 웹소설 &gt; 퓨전 판타지</v>
      </c>
    </row>
    <row r="2497" spans="1:48" x14ac:dyDescent="0.4">
      <c r="A2497">
        <v>2313012849</v>
      </c>
      <c r="B2497">
        <v>2313013340</v>
      </c>
      <c r="C2497" t="str">
        <f>T("디버프 마스터 492화")</f>
        <v>디버프 마스터 492화</v>
      </c>
      <c r="D2497" t="str">
        <f>T("492")</f>
        <v>492</v>
      </c>
      <c r="E2497" t="str">
        <f t="shared" si="385"/>
        <v>담화공</v>
      </c>
      <c r="H2497" t="str">
        <f t="shared" si="389"/>
        <v>스토리위즈</v>
      </c>
      <c r="I2497" t="str">
        <f t="shared" si="386"/>
        <v>디버프 마스터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200</v>
      </c>
      <c r="AL2497">
        <v>0</v>
      </c>
      <c r="AM2497">
        <v>0</v>
      </c>
      <c r="AN2497">
        <v>0</v>
      </c>
      <c r="AO2497">
        <v>0</v>
      </c>
      <c r="AP2497">
        <v>140</v>
      </c>
      <c r="AT2497" t="str">
        <f t="shared" si="387"/>
        <v>9791137602663</v>
      </c>
      <c r="AV2497" t="str">
        <f t="shared" si="388"/>
        <v>판타지 웹소설 &gt; 퓨전 판타지</v>
      </c>
    </row>
    <row r="2498" spans="1:48" x14ac:dyDescent="0.4">
      <c r="A2498">
        <v>2313012849</v>
      </c>
      <c r="B2498">
        <v>2313013341</v>
      </c>
      <c r="C2498" t="str">
        <f>T("디버프 마스터 493화")</f>
        <v>디버프 마스터 493화</v>
      </c>
      <c r="D2498" t="str">
        <f>T("493")</f>
        <v>493</v>
      </c>
      <c r="E2498" t="str">
        <f t="shared" si="385"/>
        <v>담화공</v>
      </c>
      <c r="H2498" t="str">
        <f t="shared" si="389"/>
        <v>스토리위즈</v>
      </c>
      <c r="I2498" t="str">
        <f t="shared" si="386"/>
        <v>디버프 마스터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>
        <v>140</v>
      </c>
      <c r="AT2498" t="str">
        <f t="shared" si="387"/>
        <v>9791137602663</v>
      </c>
      <c r="AV2498" t="str">
        <f t="shared" si="388"/>
        <v>판타지 웹소설 &gt; 퓨전 판타지</v>
      </c>
    </row>
    <row r="2499" spans="1:48" x14ac:dyDescent="0.4">
      <c r="A2499">
        <v>2313012849</v>
      </c>
      <c r="B2499">
        <v>2313013342</v>
      </c>
      <c r="C2499" t="str">
        <f>T("디버프 마스터 494화")</f>
        <v>디버프 마스터 494화</v>
      </c>
      <c r="D2499" t="str">
        <f>T("494")</f>
        <v>494</v>
      </c>
      <c r="E2499" t="str">
        <f t="shared" si="385"/>
        <v>담화공</v>
      </c>
      <c r="H2499" t="str">
        <f t="shared" si="389"/>
        <v>스토리위즈</v>
      </c>
      <c r="I2499" t="str">
        <f t="shared" si="386"/>
        <v>디버프 마스터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200</v>
      </c>
      <c r="AL2499">
        <v>0</v>
      </c>
      <c r="AM2499">
        <v>0</v>
      </c>
      <c r="AN2499">
        <v>0</v>
      </c>
      <c r="AO2499">
        <v>0</v>
      </c>
      <c r="AP2499">
        <v>140</v>
      </c>
      <c r="AT2499" t="str">
        <f t="shared" si="387"/>
        <v>9791137602663</v>
      </c>
      <c r="AV2499" t="str">
        <f t="shared" si="388"/>
        <v>판타지 웹소설 &gt; 퓨전 판타지</v>
      </c>
    </row>
    <row r="2500" spans="1:48" x14ac:dyDescent="0.4">
      <c r="A2500">
        <v>2313012849</v>
      </c>
      <c r="B2500">
        <v>2313013343</v>
      </c>
      <c r="C2500" t="str">
        <f>T("디버프 마스터 495화")</f>
        <v>디버프 마스터 495화</v>
      </c>
      <c r="D2500" t="str">
        <f>T("495")</f>
        <v>495</v>
      </c>
      <c r="E2500" t="str">
        <f t="shared" si="385"/>
        <v>담화공</v>
      </c>
      <c r="H2500" t="str">
        <f t="shared" si="389"/>
        <v>스토리위즈</v>
      </c>
      <c r="I2500" t="str">
        <f t="shared" si="386"/>
        <v>디버프 마스터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0</v>
      </c>
      <c r="AP2500">
        <v>140</v>
      </c>
      <c r="AT2500" t="str">
        <f t="shared" si="387"/>
        <v>9791137602663</v>
      </c>
      <c r="AV2500" t="str">
        <f t="shared" si="388"/>
        <v>판타지 웹소설 &gt; 퓨전 판타지</v>
      </c>
    </row>
    <row r="2501" spans="1:48" x14ac:dyDescent="0.4">
      <c r="A2501">
        <v>2313012849</v>
      </c>
      <c r="B2501">
        <v>2313013344</v>
      </c>
      <c r="C2501" t="str">
        <f>T("디버프 마스터 496화")</f>
        <v>디버프 마스터 496화</v>
      </c>
      <c r="D2501" t="str">
        <f>T("496")</f>
        <v>496</v>
      </c>
      <c r="E2501" t="str">
        <f t="shared" si="385"/>
        <v>담화공</v>
      </c>
      <c r="H2501" t="str">
        <f t="shared" si="389"/>
        <v>스토리위즈</v>
      </c>
      <c r="I2501" t="str">
        <f t="shared" si="386"/>
        <v>디버프 마스터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0</v>
      </c>
      <c r="AP2501">
        <v>140</v>
      </c>
      <c r="AT2501" t="str">
        <f t="shared" si="387"/>
        <v>9791137602663</v>
      </c>
      <c r="AV2501" t="str">
        <f t="shared" si="388"/>
        <v>판타지 웹소설 &gt; 퓨전 판타지</v>
      </c>
    </row>
    <row r="2502" spans="1:48" x14ac:dyDescent="0.4">
      <c r="A2502">
        <v>2313012849</v>
      </c>
      <c r="B2502">
        <v>2313013345</v>
      </c>
      <c r="C2502" t="str">
        <f>T("디버프 마스터 497화")</f>
        <v>디버프 마스터 497화</v>
      </c>
      <c r="D2502" t="str">
        <f>T("497")</f>
        <v>497</v>
      </c>
      <c r="E2502" t="str">
        <f t="shared" si="385"/>
        <v>담화공</v>
      </c>
      <c r="H2502" t="str">
        <f t="shared" si="389"/>
        <v>스토리위즈</v>
      </c>
      <c r="I2502" t="str">
        <f t="shared" si="386"/>
        <v>디버프 마스터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200</v>
      </c>
      <c r="AL2502">
        <v>0</v>
      </c>
      <c r="AM2502">
        <v>0</v>
      </c>
      <c r="AN2502">
        <v>0</v>
      </c>
      <c r="AO2502">
        <v>0</v>
      </c>
      <c r="AP2502">
        <v>140</v>
      </c>
      <c r="AT2502" t="str">
        <f t="shared" si="387"/>
        <v>9791137602663</v>
      </c>
      <c r="AV2502" t="str">
        <f t="shared" si="388"/>
        <v>판타지 웹소설 &gt; 퓨전 판타지</v>
      </c>
    </row>
    <row r="2503" spans="1:48" x14ac:dyDescent="0.4">
      <c r="A2503">
        <v>2313012849</v>
      </c>
      <c r="B2503">
        <v>2313013346</v>
      </c>
      <c r="C2503" t="str">
        <f>T("디버프 마스터 498화")</f>
        <v>디버프 마스터 498화</v>
      </c>
      <c r="D2503" t="str">
        <f>T("498")</f>
        <v>498</v>
      </c>
      <c r="E2503" t="str">
        <f t="shared" si="385"/>
        <v>담화공</v>
      </c>
      <c r="H2503" t="str">
        <f t="shared" si="389"/>
        <v>스토리위즈</v>
      </c>
      <c r="I2503" t="str">
        <f t="shared" si="386"/>
        <v>디버프 마스터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200</v>
      </c>
      <c r="AL2503">
        <v>0</v>
      </c>
      <c r="AM2503">
        <v>0</v>
      </c>
      <c r="AN2503">
        <v>0</v>
      </c>
      <c r="AO2503">
        <v>0</v>
      </c>
      <c r="AP2503">
        <v>140</v>
      </c>
      <c r="AT2503" t="str">
        <f t="shared" si="387"/>
        <v>9791137602663</v>
      </c>
      <c r="AV2503" t="str">
        <f t="shared" si="388"/>
        <v>판타지 웹소설 &gt; 퓨전 판타지</v>
      </c>
    </row>
    <row r="2504" spans="1:48" x14ac:dyDescent="0.4">
      <c r="A2504">
        <v>2313012849</v>
      </c>
      <c r="B2504">
        <v>2313013347</v>
      </c>
      <c r="C2504" t="str">
        <f>T("디버프 마스터 499화")</f>
        <v>디버프 마스터 499화</v>
      </c>
      <c r="D2504" t="str">
        <f>T("499")</f>
        <v>499</v>
      </c>
      <c r="E2504" t="str">
        <f t="shared" si="385"/>
        <v>담화공</v>
      </c>
      <c r="H2504" t="str">
        <f t="shared" si="389"/>
        <v>스토리위즈</v>
      </c>
      <c r="I2504" t="str">
        <f t="shared" si="386"/>
        <v>디버프 마스터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200</v>
      </c>
      <c r="AH2504">
        <v>2</v>
      </c>
      <c r="AI2504">
        <v>0</v>
      </c>
      <c r="AJ2504">
        <v>0</v>
      </c>
      <c r="AK2504">
        <v>200</v>
      </c>
      <c r="AL2504">
        <v>0</v>
      </c>
      <c r="AM2504">
        <v>0</v>
      </c>
      <c r="AN2504">
        <v>0</v>
      </c>
      <c r="AO2504">
        <v>0</v>
      </c>
      <c r="AP2504">
        <v>140</v>
      </c>
      <c r="AT2504" t="str">
        <f t="shared" si="387"/>
        <v>9791137602663</v>
      </c>
      <c r="AV2504" t="str">
        <f t="shared" si="388"/>
        <v>판타지 웹소설 &gt; 퓨전 판타지</v>
      </c>
    </row>
    <row r="2505" spans="1:48" x14ac:dyDescent="0.4">
      <c r="A2505">
        <v>2313012849</v>
      </c>
      <c r="B2505">
        <v>2313013348</v>
      </c>
      <c r="C2505" t="str">
        <f>T("디버프 마스터 500화")</f>
        <v>디버프 마스터 500화</v>
      </c>
      <c r="D2505" t="str">
        <f>T("500")</f>
        <v>500</v>
      </c>
      <c r="E2505" t="str">
        <f t="shared" si="385"/>
        <v>담화공</v>
      </c>
      <c r="H2505" t="str">
        <f t="shared" si="389"/>
        <v>스토리위즈</v>
      </c>
      <c r="I2505" t="str">
        <f t="shared" si="386"/>
        <v>디버프 마스터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200</v>
      </c>
      <c r="AH2505">
        <v>2</v>
      </c>
      <c r="AI2505">
        <v>0</v>
      </c>
      <c r="AJ2505">
        <v>0</v>
      </c>
      <c r="AK2505">
        <v>200</v>
      </c>
      <c r="AL2505">
        <v>0</v>
      </c>
      <c r="AM2505">
        <v>0</v>
      </c>
      <c r="AN2505">
        <v>0</v>
      </c>
      <c r="AO2505">
        <v>0</v>
      </c>
      <c r="AP2505">
        <v>140</v>
      </c>
      <c r="AT2505" t="str">
        <f t="shared" si="387"/>
        <v>9791137602663</v>
      </c>
      <c r="AV2505" t="str">
        <f t="shared" si="388"/>
        <v>판타지 웹소설 &gt; 퓨전 판타지</v>
      </c>
    </row>
    <row r="2506" spans="1:48" x14ac:dyDescent="0.4">
      <c r="A2506">
        <v>2313012849</v>
      </c>
      <c r="B2506">
        <v>2313013349</v>
      </c>
      <c r="C2506" t="str">
        <f>T("디버프 마스터 501화")</f>
        <v>디버프 마스터 501화</v>
      </c>
      <c r="D2506" t="str">
        <f>T("501")</f>
        <v>501</v>
      </c>
      <c r="E2506" t="str">
        <f t="shared" si="385"/>
        <v>담화공</v>
      </c>
      <c r="H2506" t="str">
        <f t="shared" si="389"/>
        <v>스토리위즈</v>
      </c>
      <c r="I2506" t="str">
        <f t="shared" si="386"/>
        <v>디버프 마스터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200</v>
      </c>
      <c r="AH2506">
        <v>2</v>
      </c>
      <c r="AI2506">
        <v>0</v>
      </c>
      <c r="AJ2506">
        <v>0</v>
      </c>
      <c r="AK2506">
        <v>200</v>
      </c>
      <c r="AL2506">
        <v>0</v>
      </c>
      <c r="AM2506">
        <v>0</v>
      </c>
      <c r="AN2506">
        <v>0</v>
      </c>
      <c r="AO2506">
        <v>0</v>
      </c>
      <c r="AP2506">
        <v>140</v>
      </c>
      <c r="AT2506" t="str">
        <f t="shared" si="387"/>
        <v>9791137602663</v>
      </c>
      <c r="AV2506" t="str">
        <f t="shared" si="388"/>
        <v>판타지 웹소설 &gt; 퓨전 판타지</v>
      </c>
    </row>
    <row r="2507" spans="1:48" x14ac:dyDescent="0.4">
      <c r="A2507">
        <v>2313012849</v>
      </c>
      <c r="B2507">
        <v>2313013350</v>
      </c>
      <c r="C2507" t="str">
        <f>T("디버프 마스터 502화")</f>
        <v>디버프 마스터 502화</v>
      </c>
      <c r="D2507" t="str">
        <f>T("502")</f>
        <v>502</v>
      </c>
      <c r="E2507" t="str">
        <f t="shared" si="385"/>
        <v>담화공</v>
      </c>
      <c r="H2507" t="str">
        <f t="shared" si="389"/>
        <v>스토리위즈</v>
      </c>
      <c r="I2507" t="str">
        <f t="shared" si="386"/>
        <v>디버프 마스터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200</v>
      </c>
      <c r="AH2507">
        <v>2</v>
      </c>
      <c r="AI2507">
        <v>0</v>
      </c>
      <c r="AJ2507">
        <v>0</v>
      </c>
      <c r="AK2507">
        <v>200</v>
      </c>
      <c r="AL2507">
        <v>0</v>
      </c>
      <c r="AM2507">
        <v>0</v>
      </c>
      <c r="AN2507">
        <v>0</v>
      </c>
      <c r="AO2507">
        <v>0</v>
      </c>
      <c r="AP2507">
        <v>140</v>
      </c>
      <c r="AT2507" t="str">
        <f t="shared" si="387"/>
        <v>9791137602663</v>
      </c>
      <c r="AV2507" t="str">
        <f t="shared" si="388"/>
        <v>판타지 웹소설 &gt; 퓨전 판타지</v>
      </c>
    </row>
    <row r="2508" spans="1:48" x14ac:dyDescent="0.4">
      <c r="A2508">
        <v>2313012849</v>
      </c>
      <c r="B2508">
        <v>2313013351</v>
      </c>
      <c r="C2508" t="str">
        <f>T("디버프 마스터 503화")</f>
        <v>디버프 마스터 503화</v>
      </c>
      <c r="D2508" t="str">
        <f>T("503")</f>
        <v>503</v>
      </c>
      <c r="E2508" t="str">
        <f t="shared" si="385"/>
        <v>담화공</v>
      </c>
      <c r="H2508" t="str">
        <f t="shared" si="389"/>
        <v>스토리위즈</v>
      </c>
      <c r="I2508" t="str">
        <f t="shared" si="386"/>
        <v>디버프 마스터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200</v>
      </c>
      <c r="AH2508">
        <v>2</v>
      </c>
      <c r="AI2508">
        <v>0</v>
      </c>
      <c r="AJ2508">
        <v>0</v>
      </c>
      <c r="AK2508">
        <v>200</v>
      </c>
      <c r="AL2508">
        <v>0</v>
      </c>
      <c r="AM2508">
        <v>0</v>
      </c>
      <c r="AN2508">
        <v>0</v>
      </c>
      <c r="AO2508">
        <v>0</v>
      </c>
      <c r="AP2508">
        <v>140</v>
      </c>
      <c r="AT2508" t="str">
        <f t="shared" si="387"/>
        <v>9791137602663</v>
      </c>
      <c r="AV2508" t="str">
        <f t="shared" si="388"/>
        <v>판타지 웹소설 &gt; 퓨전 판타지</v>
      </c>
    </row>
    <row r="2509" spans="1:48" x14ac:dyDescent="0.4">
      <c r="A2509">
        <v>2313012849</v>
      </c>
      <c r="B2509">
        <v>2313013352</v>
      </c>
      <c r="C2509" t="str">
        <f>T("디버프 마스터 504화")</f>
        <v>디버프 마스터 504화</v>
      </c>
      <c r="D2509" t="str">
        <f>T("504")</f>
        <v>504</v>
      </c>
      <c r="E2509" t="str">
        <f t="shared" si="385"/>
        <v>담화공</v>
      </c>
      <c r="H2509" t="str">
        <f t="shared" si="389"/>
        <v>스토리위즈</v>
      </c>
      <c r="I2509" t="str">
        <f t="shared" si="386"/>
        <v>디버프 마스터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200</v>
      </c>
      <c r="AH2509">
        <v>2</v>
      </c>
      <c r="AI2509">
        <v>0</v>
      </c>
      <c r="AJ2509">
        <v>0</v>
      </c>
      <c r="AK2509">
        <v>200</v>
      </c>
      <c r="AL2509">
        <v>0</v>
      </c>
      <c r="AM2509">
        <v>0</v>
      </c>
      <c r="AN2509">
        <v>0</v>
      </c>
      <c r="AO2509">
        <v>0</v>
      </c>
      <c r="AP2509">
        <v>140</v>
      </c>
      <c r="AT2509" t="str">
        <f t="shared" si="387"/>
        <v>9791137602663</v>
      </c>
      <c r="AV2509" t="str">
        <f t="shared" si="388"/>
        <v>판타지 웹소설 &gt; 퓨전 판타지</v>
      </c>
    </row>
    <row r="2510" spans="1:48" x14ac:dyDescent="0.4">
      <c r="A2510">
        <v>2313012849</v>
      </c>
      <c r="B2510">
        <v>2313013353</v>
      </c>
      <c r="C2510" t="str">
        <f>T("디버프 마스터 505화")</f>
        <v>디버프 마스터 505화</v>
      </c>
      <c r="D2510" t="str">
        <f>T("505")</f>
        <v>505</v>
      </c>
      <c r="E2510" t="str">
        <f t="shared" si="385"/>
        <v>담화공</v>
      </c>
      <c r="H2510" t="str">
        <f t="shared" si="389"/>
        <v>스토리위즈</v>
      </c>
      <c r="I2510" t="str">
        <f t="shared" si="386"/>
        <v>디버프 마스터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200</v>
      </c>
      <c r="AH2510">
        <v>2</v>
      </c>
      <c r="AI2510">
        <v>0</v>
      </c>
      <c r="AJ2510">
        <v>0</v>
      </c>
      <c r="AK2510">
        <v>200</v>
      </c>
      <c r="AL2510">
        <v>0</v>
      </c>
      <c r="AM2510">
        <v>0</v>
      </c>
      <c r="AN2510">
        <v>0</v>
      </c>
      <c r="AO2510">
        <v>0</v>
      </c>
      <c r="AP2510">
        <v>140</v>
      </c>
      <c r="AT2510" t="str">
        <f t="shared" si="387"/>
        <v>9791137602663</v>
      </c>
      <c r="AV2510" t="str">
        <f t="shared" si="388"/>
        <v>판타지 웹소설 &gt; 퓨전 판타지</v>
      </c>
    </row>
    <row r="2511" spans="1:48" x14ac:dyDescent="0.4">
      <c r="A2511">
        <v>2313012849</v>
      </c>
      <c r="B2511">
        <v>2313013354</v>
      </c>
      <c r="C2511" t="str">
        <f>T("디버프 마스터 506화")</f>
        <v>디버프 마스터 506화</v>
      </c>
      <c r="D2511" t="str">
        <f>T("506")</f>
        <v>506</v>
      </c>
      <c r="E2511" t="str">
        <f t="shared" si="385"/>
        <v>담화공</v>
      </c>
      <c r="H2511" t="str">
        <f t="shared" si="389"/>
        <v>스토리위즈</v>
      </c>
      <c r="I2511" t="str">
        <f t="shared" si="386"/>
        <v>디버프 마스터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200</v>
      </c>
      <c r="AH2511">
        <v>2</v>
      </c>
      <c r="AI2511">
        <v>0</v>
      </c>
      <c r="AJ2511">
        <v>0</v>
      </c>
      <c r="AK2511">
        <v>200</v>
      </c>
      <c r="AL2511">
        <v>0</v>
      </c>
      <c r="AM2511">
        <v>0</v>
      </c>
      <c r="AN2511">
        <v>0</v>
      </c>
      <c r="AO2511">
        <v>0</v>
      </c>
      <c r="AP2511">
        <v>140</v>
      </c>
      <c r="AT2511" t="str">
        <f t="shared" si="387"/>
        <v>9791137602663</v>
      </c>
      <c r="AV2511" t="str">
        <f t="shared" si="388"/>
        <v>판타지 웹소설 &gt; 퓨전 판타지</v>
      </c>
    </row>
    <row r="2512" spans="1:48" x14ac:dyDescent="0.4">
      <c r="A2512">
        <v>2313012849</v>
      </c>
      <c r="B2512">
        <v>2313013355</v>
      </c>
      <c r="C2512" t="str">
        <f>T("디버프 마스터 507화")</f>
        <v>디버프 마스터 507화</v>
      </c>
      <c r="D2512" t="str">
        <f>T("507")</f>
        <v>507</v>
      </c>
      <c r="E2512" t="str">
        <f t="shared" si="385"/>
        <v>담화공</v>
      </c>
      <c r="H2512" t="str">
        <f t="shared" si="389"/>
        <v>스토리위즈</v>
      </c>
      <c r="I2512" t="str">
        <f t="shared" si="386"/>
        <v>디버프 마스터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200</v>
      </c>
      <c r="AH2512">
        <v>2</v>
      </c>
      <c r="AI2512">
        <v>0</v>
      </c>
      <c r="AJ2512">
        <v>0</v>
      </c>
      <c r="AK2512">
        <v>200</v>
      </c>
      <c r="AL2512">
        <v>0</v>
      </c>
      <c r="AM2512">
        <v>0</v>
      </c>
      <c r="AN2512">
        <v>0</v>
      </c>
      <c r="AO2512">
        <v>0</v>
      </c>
      <c r="AP2512">
        <v>140</v>
      </c>
      <c r="AT2512" t="str">
        <f t="shared" si="387"/>
        <v>9791137602663</v>
      </c>
      <c r="AV2512" t="str">
        <f t="shared" si="388"/>
        <v>판타지 웹소설 &gt; 퓨전 판타지</v>
      </c>
    </row>
    <row r="2513" spans="1:48" x14ac:dyDescent="0.4">
      <c r="A2513">
        <v>2313012849</v>
      </c>
      <c r="B2513">
        <v>2313013356</v>
      </c>
      <c r="C2513" t="str">
        <f>T("디버프 마스터 508화")</f>
        <v>디버프 마스터 508화</v>
      </c>
      <c r="D2513" t="str">
        <f>T("508")</f>
        <v>508</v>
      </c>
      <c r="E2513" t="str">
        <f t="shared" si="385"/>
        <v>담화공</v>
      </c>
      <c r="H2513" t="str">
        <f t="shared" si="389"/>
        <v>스토리위즈</v>
      </c>
      <c r="I2513" t="str">
        <f t="shared" si="386"/>
        <v>디버프 마스터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200</v>
      </c>
      <c r="AL2513">
        <v>0</v>
      </c>
      <c r="AM2513">
        <v>0</v>
      </c>
      <c r="AN2513">
        <v>0</v>
      </c>
      <c r="AO2513">
        <v>0</v>
      </c>
      <c r="AP2513">
        <v>140</v>
      </c>
      <c r="AT2513" t="str">
        <f t="shared" si="387"/>
        <v>9791137602663</v>
      </c>
      <c r="AV2513" t="str">
        <f t="shared" si="388"/>
        <v>판타지 웹소설 &gt; 퓨전 판타지</v>
      </c>
    </row>
    <row r="2514" spans="1:48" x14ac:dyDescent="0.4">
      <c r="A2514">
        <v>2313012849</v>
      </c>
      <c r="B2514">
        <v>2313013357</v>
      </c>
      <c r="C2514" t="str">
        <f>T("디버프 마스터 509화")</f>
        <v>디버프 마스터 509화</v>
      </c>
      <c r="D2514" t="str">
        <f>T("509")</f>
        <v>509</v>
      </c>
      <c r="E2514" t="str">
        <f t="shared" si="385"/>
        <v>담화공</v>
      </c>
      <c r="H2514" t="str">
        <f t="shared" si="389"/>
        <v>스토리위즈</v>
      </c>
      <c r="I2514" t="str">
        <f t="shared" si="386"/>
        <v>디버프 마스터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200</v>
      </c>
      <c r="AH2514">
        <v>2</v>
      </c>
      <c r="AI2514">
        <v>0</v>
      </c>
      <c r="AJ2514">
        <v>0</v>
      </c>
      <c r="AK2514">
        <v>200</v>
      </c>
      <c r="AL2514">
        <v>0</v>
      </c>
      <c r="AM2514">
        <v>0</v>
      </c>
      <c r="AN2514">
        <v>0</v>
      </c>
      <c r="AO2514">
        <v>0</v>
      </c>
      <c r="AP2514">
        <v>140</v>
      </c>
      <c r="AT2514" t="str">
        <f t="shared" si="387"/>
        <v>9791137602663</v>
      </c>
      <c r="AV2514" t="str">
        <f t="shared" si="388"/>
        <v>판타지 웹소설 &gt; 퓨전 판타지</v>
      </c>
    </row>
    <row r="2515" spans="1:48" x14ac:dyDescent="0.4">
      <c r="A2515">
        <v>2313012849</v>
      </c>
      <c r="B2515">
        <v>2313013358</v>
      </c>
      <c r="C2515" t="str">
        <f>T("디버프 마스터 510화")</f>
        <v>디버프 마스터 510화</v>
      </c>
      <c r="D2515" t="str">
        <f>T("510")</f>
        <v>510</v>
      </c>
      <c r="E2515" t="str">
        <f t="shared" si="385"/>
        <v>담화공</v>
      </c>
      <c r="H2515" t="str">
        <f t="shared" si="389"/>
        <v>스토리위즈</v>
      </c>
      <c r="I2515" t="str">
        <f t="shared" si="386"/>
        <v>디버프 마스터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200</v>
      </c>
      <c r="AH2515">
        <v>2</v>
      </c>
      <c r="AI2515">
        <v>0</v>
      </c>
      <c r="AJ2515">
        <v>0</v>
      </c>
      <c r="AK2515">
        <v>200</v>
      </c>
      <c r="AL2515">
        <v>0</v>
      </c>
      <c r="AM2515">
        <v>0</v>
      </c>
      <c r="AN2515">
        <v>0</v>
      </c>
      <c r="AO2515">
        <v>0</v>
      </c>
      <c r="AP2515">
        <v>140</v>
      </c>
      <c r="AT2515" t="str">
        <f t="shared" si="387"/>
        <v>9791137602663</v>
      </c>
      <c r="AV2515" t="str">
        <f t="shared" si="388"/>
        <v>판타지 웹소설 &gt; 퓨전 판타지</v>
      </c>
    </row>
    <row r="2516" spans="1:48" x14ac:dyDescent="0.4">
      <c r="A2516">
        <v>2313012849</v>
      </c>
      <c r="B2516">
        <v>2313013359</v>
      </c>
      <c r="C2516" t="str">
        <f>T("디버프 마스터 511화")</f>
        <v>디버프 마스터 511화</v>
      </c>
      <c r="D2516" t="str">
        <f>T("511")</f>
        <v>511</v>
      </c>
      <c r="E2516" t="str">
        <f t="shared" si="385"/>
        <v>담화공</v>
      </c>
      <c r="H2516" t="str">
        <f t="shared" si="389"/>
        <v>스토리위즈</v>
      </c>
      <c r="I2516" t="str">
        <f t="shared" si="386"/>
        <v>디버프 마스터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200</v>
      </c>
      <c r="AH2516">
        <v>2</v>
      </c>
      <c r="AI2516">
        <v>0</v>
      </c>
      <c r="AJ2516">
        <v>0</v>
      </c>
      <c r="AK2516">
        <v>200</v>
      </c>
      <c r="AL2516">
        <v>0</v>
      </c>
      <c r="AM2516">
        <v>0</v>
      </c>
      <c r="AN2516">
        <v>0</v>
      </c>
      <c r="AO2516">
        <v>0</v>
      </c>
      <c r="AP2516">
        <v>140</v>
      </c>
      <c r="AT2516" t="str">
        <f t="shared" si="387"/>
        <v>9791137602663</v>
      </c>
      <c r="AV2516" t="str">
        <f t="shared" si="388"/>
        <v>판타지 웹소설 &gt; 퓨전 판타지</v>
      </c>
    </row>
    <row r="2517" spans="1:48" x14ac:dyDescent="0.4">
      <c r="A2517">
        <v>2313012849</v>
      </c>
      <c r="B2517">
        <v>2313013360</v>
      </c>
      <c r="C2517" t="str">
        <f>T("디버프 마스터 512화")</f>
        <v>디버프 마스터 512화</v>
      </c>
      <c r="D2517" t="str">
        <f>T("512")</f>
        <v>512</v>
      </c>
      <c r="E2517" t="str">
        <f t="shared" si="385"/>
        <v>담화공</v>
      </c>
      <c r="H2517" t="str">
        <f t="shared" si="389"/>
        <v>스토리위즈</v>
      </c>
      <c r="I2517" t="str">
        <f t="shared" si="386"/>
        <v>디버프 마스터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200</v>
      </c>
      <c r="AH2517">
        <v>2</v>
      </c>
      <c r="AI2517">
        <v>0</v>
      </c>
      <c r="AJ2517">
        <v>0</v>
      </c>
      <c r="AK2517">
        <v>200</v>
      </c>
      <c r="AL2517">
        <v>0</v>
      </c>
      <c r="AM2517">
        <v>0</v>
      </c>
      <c r="AN2517">
        <v>0</v>
      </c>
      <c r="AO2517">
        <v>0</v>
      </c>
      <c r="AP2517">
        <v>140</v>
      </c>
      <c r="AT2517" t="str">
        <f t="shared" si="387"/>
        <v>9791137602663</v>
      </c>
      <c r="AV2517" t="str">
        <f t="shared" si="388"/>
        <v>판타지 웹소설 &gt; 퓨전 판타지</v>
      </c>
    </row>
    <row r="2518" spans="1:48" x14ac:dyDescent="0.4">
      <c r="A2518">
        <v>2313012849</v>
      </c>
      <c r="B2518">
        <v>2313013361</v>
      </c>
      <c r="C2518" t="str">
        <f>T("디버프 마스터 513화")</f>
        <v>디버프 마스터 513화</v>
      </c>
      <c r="D2518" t="str">
        <f>T("513")</f>
        <v>513</v>
      </c>
      <c r="E2518" t="str">
        <f t="shared" si="385"/>
        <v>담화공</v>
      </c>
      <c r="H2518" t="str">
        <f t="shared" si="389"/>
        <v>스토리위즈</v>
      </c>
      <c r="I2518" t="str">
        <f t="shared" si="386"/>
        <v>디버프 마스터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200</v>
      </c>
      <c r="AH2518">
        <v>2</v>
      </c>
      <c r="AI2518">
        <v>0</v>
      </c>
      <c r="AJ2518">
        <v>0</v>
      </c>
      <c r="AK2518">
        <v>200</v>
      </c>
      <c r="AL2518">
        <v>0</v>
      </c>
      <c r="AM2518">
        <v>0</v>
      </c>
      <c r="AN2518">
        <v>0</v>
      </c>
      <c r="AO2518">
        <v>0</v>
      </c>
      <c r="AP2518">
        <v>140</v>
      </c>
      <c r="AT2518" t="str">
        <f t="shared" si="387"/>
        <v>9791137602663</v>
      </c>
      <c r="AV2518" t="str">
        <f t="shared" si="388"/>
        <v>판타지 웹소설 &gt; 퓨전 판타지</v>
      </c>
    </row>
    <row r="2519" spans="1:48" x14ac:dyDescent="0.4">
      <c r="A2519">
        <v>2313012849</v>
      </c>
      <c r="B2519">
        <v>2313013362</v>
      </c>
      <c r="C2519" t="str">
        <f>T("디버프 마스터 514화")</f>
        <v>디버프 마스터 514화</v>
      </c>
      <c r="D2519" t="str">
        <f>T("514")</f>
        <v>514</v>
      </c>
      <c r="E2519" t="str">
        <f t="shared" si="385"/>
        <v>담화공</v>
      </c>
      <c r="H2519" t="str">
        <f t="shared" si="389"/>
        <v>스토리위즈</v>
      </c>
      <c r="I2519" t="str">
        <f t="shared" si="386"/>
        <v>디버프 마스터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200</v>
      </c>
      <c r="AH2519">
        <v>2</v>
      </c>
      <c r="AI2519">
        <v>0</v>
      </c>
      <c r="AJ2519">
        <v>0</v>
      </c>
      <c r="AK2519">
        <v>200</v>
      </c>
      <c r="AL2519">
        <v>0</v>
      </c>
      <c r="AM2519">
        <v>0</v>
      </c>
      <c r="AN2519">
        <v>0</v>
      </c>
      <c r="AO2519">
        <v>0</v>
      </c>
      <c r="AP2519">
        <v>140</v>
      </c>
      <c r="AT2519" t="str">
        <f t="shared" si="387"/>
        <v>9791137602663</v>
      </c>
      <c r="AV2519" t="str">
        <f t="shared" si="388"/>
        <v>판타지 웹소설 &gt; 퓨전 판타지</v>
      </c>
    </row>
    <row r="2520" spans="1:48" x14ac:dyDescent="0.4">
      <c r="A2520">
        <v>2313012849</v>
      </c>
      <c r="B2520">
        <v>2313013363</v>
      </c>
      <c r="C2520" t="str">
        <f>T("디버프 마스터 515화")</f>
        <v>디버프 마스터 515화</v>
      </c>
      <c r="D2520" t="str">
        <f>T("515")</f>
        <v>515</v>
      </c>
      <c r="E2520" t="str">
        <f t="shared" si="385"/>
        <v>담화공</v>
      </c>
      <c r="H2520" t="str">
        <f t="shared" si="389"/>
        <v>스토리위즈</v>
      </c>
      <c r="I2520" t="str">
        <f t="shared" si="386"/>
        <v>디버프 마스터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200</v>
      </c>
      <c r="AH2520">
        <v>2</v>
      </c>
      <c r="AI2520">
        <v>0</v>
      </c>
      <c r="AJ2520">
        <v>0</v>
      </c>
      <c r="AK2520">
        <v>200</v>
      </c>
      <c r="AL2520">
        <v>0</v>
      </c>
      <c r="AM2520">
        <v>0</v>
      </c>
      <c r="AN2520">
        <v>0</v>
      </c>
      <c r="AO2520">
        <v>0</v>
      </c>
      <c r="AP2520">
        <v>140</v>
      </c>
      <c r="AT2520" t="str">
        <f t="shared" si="387"/>
        <v>9791137602663</v>
      </c>
      <c r="AV2520" t="str">
        <f t="shared" si="388"/>
        <v>판타지 웹소설 &gt; 퓨전 판타지</v>
      </c>
    </row>
    <row r="2521" spans="1:48" x14ac:dyDescent="0.4">
      <c r="A2521">
        <v>2313012849</v>
      </c>
      <c r="B2521">
        <v>2313013364</v>
      </c>
      <c r="C2521" t="str">
        <f>T("디버프 마스터 516화")</f>
        <v>디버프 마스터 516화</v>
      </c>
      <c r="D2521" t="str">
        <f>T("516")</f>
        <v>516</v>
      </c>
      <c r="E2521" t="str">
        <f t="shared" si="385"/>
        <v>담화공</v>
      </c>
      <c r="H2521" t="str">
        <f t="shared" si="389"/>
        <v>스토리위즈</v>
      </c>
      <c r="I2521" t="str">
        <f t="shared" si="386"/>
        <v>디버프 마스터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200</v>
      </c>
      <c r="AH2521">
        <v>2</v>
      </c>
      <c r="AI2521">
        <v>0</v>
      </c>
      <c r="AJ2521">
        <v>0</v>
      </c>
      <c r="AK2521">
        <v>200</v>
      </c>
      <c r="AL2521">
        <v>0</v>
      </c>
      <c r="AM2521">
        <v>0</v>
      </c>
      <c r="AN2521">
        <v>0</v>
      </c>
      <c r="AO2521">
        <v>0</v>
      </c>
      <c r="AP2521">
        <v>140</v>
      </c>
      <c r="AT2521" t="str">
        <f t="shared" si="387"/>
        <v>9791137602663</v>
      </c>
      <c r="AV2521" t="str">
        <f t="shared" si="388"/>
        <v>판타지 웹소설 &gt; 퓨전 판타지</v>
      </c>
    </row>
    <row r="2522" spans="1:48" x14ac:dyDescent="0.4">
      <c r="A2522">
        <v>2313012849</v>
      </c>
      <c r="B2522">
        <v>2313013365</v>
      </c>
      <c r="C2522" t="str">
        <f>T("디버프 마스터 517화")</f>
        <v>디버프 마스터 517화</v>
      </c>
      <c r="D2522" t="str">
        <f>T("517")</f>
        <v>517</v>
      </c>
      <c r="E2522" t="str">
        <f t="shared" si="385"/>
        <v>담화공</v>
      </c>
      <c r="H2522" t="str">
        <f t="shared" si="389"/>
        <v>스토리위즈</v>
      </c>
      <c r="I2522" t="str">
        <f t="shared" si="386"/>
        <v>디버프 마스터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</v>
      </c>
      <c r="AH2522">
        <v>2</v>
      </c>
      <c r="AI2522">
        <v>0</v>
      </c>
      <c r="AJ2522">
        <v>0</v>
      </c>
      <c r="AK2522">
        <v>200</v>
      </c>
      <c r="AL2522">
        <v>0</v>
      </c>
      <c r="AM2522">
        <v>0</v>
      </c>
      <c r="AN2522">
        <v>0</v>
      </c>
      <c r="AO2522">
        <v>0</v>
      </c>
      <c r="AP2522">
        <v>140</v>
      </c>
      <c r="AT2522" t="str">
        <f t="shared" si="387"/>
        <v>9791137602663</v>
      </c>
      <c r="AV2522" t="str">
        <f t="shared" si="388"/>
        <v>판타지 웹소설 &gt; 퓨전 판타지</v>
      </c>
    </row>
    <row r="2523" spans="1:48" x14ac:dyDescent="0.4">
      <c r="A2523">
        <v>2313012849</v>
      </c>
      <c r="B2523">
        <v>2313013366</v>
      </c>
      <c r="C2523" t="str">
        <f>T("디버프 마스터 518화")</f>
        <v>디버프 마스터 518화</v>
      </c>
      <c r="D2523" t="str">
        <f>T("518")</f>
        <v>518</v>
      </c>
      <c r="E2523" t="str">
        <f t="shared" si="385"/>
        <v>담화공</v>
      </c>
      <c r="H2523" t="str">
        <f t="shared" si="389"/>
        <v>스토리위즈</v>
      </c>
      <c r="I2523" t="str">
        <f t="shared" si="386"/>
        <v>디버프 마스터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200</v>
      </c>
      <c r="AH2523">
        <v>2</v>
      </c>
      <c r="AI2523">
        <v>0</v>
      </c>
      <c r="AJ2523">
        <v>0</v>
      </c>
      <c r="AK2523">
        <v>200</v>
      </c>
      <c r="AL2523">
        <v>0</v>
      </c>
      <c r="AM2523">
        <v>0</v>
      </c>
      <c r="AN2523">
        <v>0</v>
      </c>
      <c r="AO2523">
        <v>0</v>
      </c>
      <c r="AP2523">
        <v>140</v>
      </c>
      <c r="AT2523" t="str">
        <f t="shared" si="387"/>
        <v>9791137602663</v>
      </c>
      <c r="AV2523" t="str">
        <f t="shared" si="388"/>
        <v>판타지 웹소설 &gt; 퓨전 판타지</v>
      </c>
    </row>
    <row r="2524" spans="1:48" x14ac:dyDescent="0.4">
      <c r="A2524">
        <v>2313012849</v>
      </c>
      <c r="B2524">
        <v>2313013367</v>
      </c>
      <c r="C2524" t="str">
        <f>T("디버프 마스터 519화")</f>
        <v>디버프 마스터 519화</v>
      </c>
      <c r="D2524" t="str">
        <f>T("519")</f>
        <v>519</v>
      </c>
      <c r="E2524" t="str">
        <f t="shared" si="385"/>
        <v>담화공</v>
      </c>
      <c r="H2524" t="str">
        <f t="shared" si="389"/>
        <v>스토리위즈</v>
      </c>
      <c r="I2524" t="str">
        <f t="shared" si="386"/>
        <v>디버프 마스터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</v>
      </c>
      <c r="AH2524">
        <v>2</v>
      </c>
      <c r="AI2524">
        <v>0</v>
      </c>
      <c r="AJ2524">
        <v>0</v>
      </c>
      <c r="AK2524">
        <v>200</v>
      </c>
      <c r="AL2524">
        <v>0</v>
      </c>
      <c r="AM2524">
        <v>0</v>
      </c>
      <c r="AN2524">
        <v>0</v>
      </c>
      <c r="AO2524">
        <v>0</v>
      </c>
      <c r="AP2524">
        <v>140</v>
      </c>
      <c r="AT2524" t="str">
        <f t="shared" si="387"/>
        <v>9791137602663</v>
      </c>
      <c r="AV2524" t="str">
        <f t="shared" si="388"/>
        <v>판타지 웹소설 &gt; 퓨전 판타지</v>
      </c>
    </row>
    <row r="2525" spans="1:48" x14ac:dyDescent="0.4">
      <c r="A2525">
        <v>2313012849</v>
      </c>
      <c r="B2525">
        <v>2313013368</v>
      </c>
      <c r="C2525" t="str">
        <f>T("디버프 마스터 520화")</f>
        <v>디버프 마스터 520화</v>
      </c>
      <c r="D2525" t="str">
        <f>T("520")</f>
        <v>520</v>
      </c>
      <c r="E2525" t="str">
        <f t="shared" ref="E2525:E2528" si="390">T("담화공")</f>
        <v>담화공</v>
      </c>
      <c r="H2525" t="str">
        <f t="shared" si="389"/>
        <v>스토리위즈</v>
      </c>
      <c r="I2525" t="str">
        <f t="shared" ref="I2525:I2528" si="391">T("디버프 마스터")</f>
        <v>디버프 마스터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</v>
      </c>
      <c r="AH2525">
        <v>2</v>
      </c>
      <c r="AI2525">
        <v>0</v>
      </c>
      <c r="AJ2525">
        <v>0</v>
      </c>
      <c r="AK2525">
        <v>200</v>
      </c>
      <c r="AL2525">
        <v>0</v>
      </c>
      <c r="AM2525">
        <v>0</v>
      </c>
      <c r="AN2525">
        <v>0</v>
      </c>
      <c r="AO2525">
        <v>0</v>
      </c>
      <c r="AP2525">
        <v>140</v>
      </c>
      <c r="AT2525" t="str">
        <f t="shared" ref="AT2525:AT2528" si="392">T("9791137602663")</f>
        <v>9791137602663</v>
      </c>
      <c r="AV2525" t="str">
        <f t="shared" ref="AV2525:AV2551" si="393">T("판타지 웹소설 &gt; 퓨전 판타지")</f>
        <v>판타지 웹소설 &gt; 퓨전 판타지</v>
      </c>
    </row>
    <row r="2526" spans="1:48" x14ac:dyDescent="0.4">
      <c r="A2526">
        <v>2313012849</v>
      </c>
      <c r="B2526">
        <v>2313013872</v>
      </c>
      <c r="C2526" t="str">
        <f>T("디버프 마스터 1024화")</f>
        <v>디버프 마스터 1024화</v>
      </c>
      <c r="D2526" t="str">
        <f>T("1024")</f>
        <v>1024</v>
      </c>
      <c r="E2526" t="str">
        <f t="shared" si="390"/>
        <v>담화공</v>
      </c>
      <c r="H2526" t="str">
        <f t="shared" si="389"/>
        <v>스토리위즈</v>
      </c>
      <c r="I2526" t="str">
        <f t="shared" si="391"/>
        <v>디버프 마스터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200</v>
      </c>
      <c r="AH2526">
        <v>2</v>
      </c>
      <c r="AI2526">
        <v>0</v>
      </c>
      <c r="AJ2526">
        <v>0</v>
      </c>
      <c r="AK2526">
        <v>200</v>
      </c>
      <c r="AL2526">
        <v>0</v>
      </c>
      <c r="AM2526">
        <v>0</v>
      </c>
      <c r="AN2526">
        <v>0</v>
      </c>
      <c r="AO2526">
        <v>0</v>
      </c>
      <c r="AP2526">
        <v>140</v>
      </c>
      <c r="AT2526" t="str">
        <f t="shared" si="392"/>
        <v>9791137602663</v>
      </c>
      <c r="AV2526" t="str">
        <f t="shared" si="393"/>
        <v>판타지 웹소설 &gt; 퓨전 판타지</v>
      </c>
    </row>
    <row r="2527" spans="1:48" x14ac:dyDescent="0.4">
      <c r="A2527">
        <v>2313012849</v>
      </c>
      <c r="B2527">
        <v>2313014031</v>
      </c>
      <c r="C2527" t="str">
        <f>T("디버프 마스터 1183화")</f>
        <v>디버프 마스터 1183화</v>
      </c>
      <c r="D2527" t="str">
        <f>T("1183")</f>
        <v>1183</v>
      </c>
      <c r="E2527" t="str">
        <f t="shared" si="390"/>
        <v>담화공</v>
      </c>
      <c r="H2527" t="str">
        <f t="shared" si="389"/>
        <v>스토리위즈</v>
      </c>
      <c r="I2527" t="str">
        <f t="shared" si="391"/>
        <v>디버프 마스터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-100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200</v>
      </c>
      <c r="AH2527">
        <v>2</v>
      </c>
      <c r="AI2527">
        <v>-100</v>
      </c>
      <c r="AJ2527">
        <v>1</v>
      </c>
      <c r="AK2527">
        <v>200</v>
      </c>
      <c r="AL2527">
        <v>-100</v>
      </c>
      <c r="AM2527">
        <v>0</v>
      </c>
      <c r="AN2527">
        <v>0</v>
      </c>
      <c r="AO2527">
        <v>0</v>
      </c>
      <c r="AP2527">
        <v>70</v>
      </c>
      <c r="AT2527" t="str">
        <f t="shared" si="392"/>
        <v>9791137602663</v>
      </c>
      <c r="AV2527" t="str">
        <f t="shared" si="393"/>
        <v>판타지 웹소설 &gt; 퓨전 판타지</v>
      </c>
    </row>
    <row r="2528" spans="1:48" x14ac:dyDescent="0.4">
      <c r="A2528">
        <v>2313012849</v>
      </c>
      <c r="B2528">
        <v>2313014041</v>
      </c>
      <c r="C2528" t="str">
        <f>T("디버프 마스터 1193화")</f>
        <v>디버프 마스터 1193화</v>
      </c>
      <c r="D2528" t="str">
        <f>T("1193")</f>
        <v>1193</v>
      </c>
      <c r="E2528" t="str">
        <f t="shared" si="390"/>
        <v>담화공</v>
      </c>
      <c r="H2528" t="str">
        <f t="shared" si="389"/>
        <v>스토리위즈</v>
      </c>
      <c r="I2528" t="str">
        <f t="shared" si="391"/>
        <v>디버프 마스터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-100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200</v>
      </c>
      <c r="AH2528">
        <v>2</v>
      </c>
      <c r="AI2528">
        <v>-100</v>
      </c>
      <c r="AJ2528">
        <v>1</v>
      </c>
      <c r="AK2528">
        <v>200</v>
      </c>
      <c r="AL2528">
        <v>-100</v>
      </c>
      <c r="AM2528">
        <v>0</v>
      </c>
      <c r="AN2528">
        <v>0</v>
      </c>
      <c r="AO2528">
        <v>0</v>
      </c>
      <c r="AP2528">
        <v>70</v>
      </c>
      <c r="AT2528" t="str">
        <f t="shared" si="392"/>
        <v>9791137602663</v>
      </c>
      <c r="AV2528" t="str">
        <f t="shared" si="393"/>
        <v>판타지 웹소설 &gt; 퓨전 판타지</v>
      </c>
    </row>
    <row r="2529" spans="1:48" x14ac:dyDescent="0.4">
      <c r="A2529">
        <v>2313014405</v>
      </c>
      <c r="B2529">
        <v>2313014431</v>
      </c>
      <c r="C2529" t="str">
        <f>T("낚싯대 하나로 세계최강 27화")</f>
        <v>낚싯대 하나로 세계최강 27화</v>
      </c>
      <c r="D2529" t="str">
        <f>T("27")</f>
        <v>27</v>
      </c>
      <c r="E2529" t="str">
        <f>T("단팥크림빵7")</f>
        <v>단팥크림빵7</v>
      </c>
      <c r="H2529" t="str">
        <f t="shared" si="389"/>
        <v>스토리위즈</v>
      </c>
      <c r="I2529" t="str">
        <f>T("낚싯대 하나로 세계최강")</f>
        <v>낚싯대 하나로 세계최강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200</v>
      </c>
      <c r="AH2529">
        <v>2</v>
      </c>
      <c r="AI2529">
        <v>0</v>
      </c>
      <c r="AJ2529">
        <v>0</v>
      </c>
      <c r="AK2529">
        <v>200</v>
      </c>
      <c r="AL2529">
        <v>0</v>
      </c>
      <c r="AM2529">
        <v>0</v>
      </c>
      <c r="AN2529">
        <v>0</v>
      </c>
      <c r="AO2529">
        <v>0</v>
      </c>
      <c r="AP2529">
        <v>140</v>
      </c>
      <c r="AT2529" t="str">
        <f>T("9791137600690")</f>
        <v>9791137600690</v>
      </c>
      <c r="AV2529" t="str">
        <f t="shared" si="393"/>
        <v>판타지 웹소설 &gt; 퓨전 판타지</v>
      </c>
    </row>
    <row r="2530" spans="1:48" x14ac:dyDescent="0.4">
      <c r="A2530">
        <v>2313014405</v>
      </c>
      <c r="B2530">
        <v>2313014433</v>
      </c>
      <c r="C2530" t="str">
        <f>T("낚싯대 하나로 세계최강 29화")</f>
        <v>낚싯대 하나로 세계최강 29화</v>
      </c>
      <c r="D2530" t="str">
        <f>T("29")</f>
        <v>29</v>
      </c>
      <c r="E2530" t="str">
        <f>T("단팥크림빵7")</f>
        <v>단팥크림빵7</v>
      </c>
      <c r="H2530" t="str">
        <f t="shared" si="389"/>
        <v>스토리위즈</v>
      </c>
      <c r="I2530" t="str">
        <f>T("낚싯대 하나로 세계최강")</f>
        <v>낚싯대 하나로 세계최강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200</v>
      </c>
      <c r="AH2530">
        <v>2</v>
      </c>
      <c r="AI2530">
        <v>0</v>
      </c>
      <c r="AJ2530">
        <v>0</v>
      </c>
      <c r="AK2530">
        <v>200</v>
      </c>
      <c r="AL2530">
        <v>0</v>
      </c>
      <c r="AM2530">
        <v>0</v>
      </c>
      <c r="AN2530">
        <v>0</v>
      </c>
      <c r="AO2530">
        <v>0</v>
      </c>
      <c r="AP2530">
        <v>140</v>
      </c>
      <c r="AT2530" t="str">
        <f>T("9791137600690")</f>
        <v>9791137600690</v>
      </c>
      <c r="AV2530" t="str">
        <f t="shared" si="393"/>
        <v>판타지 웹소설 &gt; 퓨전 판타지</v>
      </c>
    </row>
    <row r="2531" spans="1:48" x14ac:dyDescent="0.4">
      <c r="A2531">
        <v>2313014405</v>
      </c>
      <c r="B2531">
        <v>2313014434</v>
      </c>
      <c r="C2531" t="str">
        <f>T("낚싯대 하나로 세계최강 30화")</f>
        <v>낚싯대 하나로 세계최강 30화</v>
      </c>
      <c r="D2531" t="str">
        <f>T("30")</f>
        <v>30</v>
      </c>
      <c r="E2531" t="str">
        <f>T("단팥크림빵7")</f>
        <v>단팥크림빵7</v>
      </c>
      <c r="H2531" t="str">
        <f t="shared" ref="H2531:H2551" si="394">T("스토리위즈")</f>
        <v>스토리위즈</v>
      </c>
      <c r="I2531" t="str">
        <f>T("낚싯대 하나로 세계최강")</f>
        <v>낚싯대 하나로 세계최강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200</v>
      </c>
      <c r="AH2531">
        <v>2</v>
      </c>
      <c r="AI2531">
        <v>0</v>
      </c>
      <c r="AJ2531">
        <v>0</v>
      </c>
      <c r="AK2531">
        <v>200</v>
      </c>
      <c r="AL2531">
        <v>0</v>
      </c>
      <c r="AM2531">
        <v>0</v>
      </c>
      <c r="AN2531">
        <v>0</v>
      </c>
      <c r="AO2531">
        <v>0</v>
      </c>
      <c r="AP2531">
        <v>140</v>
      </c>
      <c r="AT2531" t="str">
        <f>T("9791137600690")</f>
        <v>9791137600690</v>
      </c>
      <c r="AV2531" t="str">
        <f t="shared" si="393"/>
        <v>판타지 웹소설 &gt; 퓨전 판타지</v>
      </c>
    </row>
    <row r="2532" spans="1:48" x14ac:dyDescent="0.4">
      <c r="A2532">
        <v>2313016617</v>
      </c>
      <c r="B2532">
        <v>2313016666</v>
      </c>
      <c r="C2532" t="str">
        <f>T("올마스터가 된 비전서고 50화")</f>
        <v>올마스터가 된 비전서고 50화</v>
      </c>
      <c r="D2532" t="str">
        <f>T("50")</f>
        <v>50</v>
      </c>
      <c r="E2532" t="str">
        <f t="shared" ref="E2532:E2548" si="395">T("글면증")</f>
        <v>글면증</v>
      </c>
      <c r="H2532" t="str">
        <f t="shared" si="394"/>
        <v>스토리위즈</v>
      </c>
      <c r="I2532" t="str">
        <f t="shared" ref="I2532:I2548" si="396">T("올마스터가 된 비전서고")</f>
        <v>올마스터가 된 비전서고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200</v>
      </c>
      <c r="AH2532">
        <v>2</v>
      </c>
      <c r="AI2532">
        <v>0</v>
      </c>
      <c r="AJ2532">
        <v>0</v>
      </c>
      <c r="AK2532">
        <v>200</v>
      </c>
      <c r="AL2532">
        <v>0</v>
      </c>
      <c r="AM2532">
        <v>0</v>
      </c>
      <c r="AN2532">
        <v>0</v>
      </c>
      <c r="AO2532">
        <v>0</v>
      </c>
      <c r="AP2532">
        <v>140</v>
      </c>
      <c r="AT2532" t="str">
        <f t="shared" ref="AT2532:AT2548" si="397">T("9791137601314")</f>
        <v>9791137601314</v>
      </c>
      <c r="AV2532" t="str">
        <f t="shared" si="393"/>
        <v>판타지 웹소설 &gt; 퓨전 판타지</v>
      </c>
    </row>
    <row r="2533" spans="1:48" x14ac:dyDescent="0.4">
      <c r="A2533">
        <v>2313016617</v>
      </c>
      <c r="B2533">
        <v>2313016670</v>
      </c>
      <c r="C2533" t="str">
        <f>T("올마스터가 된 비전서고 54화")</f>
        <v>올마스터가 된 비전서고 54화</v>
      </c>
      <c r="D2533" t="str">
        <f>T("54")</f>
        <v>54</v>
      </c>
      <c r="E2533" t="str">
        <f t="shared" si="395"/>
        <v>글면증</v>
      </c>
      <c r="H2533" t="str">
        <f t="shared" si="394"/>
        <v>스토리위즈</v>
      </c>
      <c r="I2533" t="str">
        <f t="shared" si="396"/>
        <v>올마스터가 된 비전서고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200</v>
      </c>
      <c r="AH2533">
        <v>2</v>
      </c>
      <c r="AI2533">
        <v>0</v>
      </c>
      <c r="AJ2533">
        <v>0</v>
      </c>
      <c r="AK2533">
        <v>200</v>
      </c>
      <c r="AL2533">
        <v>0</v>
      </c>
      <c r="AM2533">
        <v>0</v>
      </c>
      <c r="AN2533">
        <v>0</v>
      </c>
      <c r="AO2533">
        <v>0</v>
      </c>
      <c r="AP2533">
        <v>140</v>
      </c>
      <c r="AT2533" t="str">
        <f t="shared" si="397"/>
        <v>9791137601314</v>
      </c>
      <c r="AV2533" t="str">
        <f t="shared" si="393"/>
        <v>판타지 웹소설 &gt; 퓨전 판타지</v>
      </c>
    </row>
    <row r="2534" spans="1:48" x14ac:dyDescent="0.4">
      <c r="A2534">
        <v>2313016617</v>
      </c>
      <c r="B2534">
        <v>2313016698</v>
      </c>
      <c r="C2534" t="str">
        <f>T("올마스터가 된 비전서고 82화")</f>
        <v>올마스터가 된 비전서고 82화</v>
      </c>
      <c r="D2534" t="str">
        <f>T("82")</f>
        <v>82</v>
      </c>
      <c r="E2534" t="str">
        <f t="shared" si="395"/>
        <v>글면증</v>
      </c>
      <c r="H2534" t="str">
        <f t="shared" si="394"/>
        <v>스토리위즈</v>
      </c>
      <c r="I2534" t="str">
        <f t="shared" si="396"/>
        <v>올마스터가 된 비전서고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200</v>
      </c>
      <c r="AH2534">
        <v>2</v>
      </c>
      <c r="AI2534">
        <v>0</v>
      </c>
      <c r="AJ2534">
        <v>0</v>
      </c>
      <c r="AK2534">
        <v>200</v>
      </c>
      <c r="AL2534">
        <v>0</v>
      </c>
      <c r="AM2534">
        <v>0</v>
      </c>
      <c r="AN2534">
        <v>0</v>
      </c>
      <c r="AO2534">
        <v>0</v>
      </c>
      <c r="AP2534">
        <v>140</v>
      </c>
      <c r="AT2534" t="str">
        <f t="shared" si="397"/>
        <v>9791137601314</v>
      </c>
      <c r="AV2534" t="str">
        <f t="shared" si="393"/>
        <v>판타지 웹소설 &gt; 퓨전 판타지</v>
      </c>
    </row>
    <row r="2535" spans="1:48" x14ac:dyDescent="0.4">
      <c r="A2535">
        <v>2313016617</v>
      </c>
      <c r="B2535">
        <v>2313016699</v>
      </c>
      <c r="C2535" t="str">
        <f>T("올마스터가 된 비전서고 83화")</f>
        <v>올마스터가 된 비전서고 83화</v>
      </c>
      <c r="D2535" t="str">
        <f>T("83")</f>
        <v>83</v>
      </c>
      <c r="E2535" t="str">
        <f t="shared" si="395"/>
        <v>글면증</v>
      </c>
      <c r="H2535" t="str">
        <f t="shared" si="394"/>
        <v>스토리위즈</v>
      </c>
      <c r="I2535" t="str">
        <f t="shared" si="396"/>
        <v>올마스터가 된 비전서고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200</v>
      </c>
      <c r="AH2535">
        <v>2</v>
      </c>
      <c r="AI2535">
        <v>0</v>
      </c>
      <c r="AJ2535">
        <v>0</v>
      </c>
      <c r="AK2535">
        <v>200</v>
      </c>
      <c r="AL2535">
        <v>0</v>
      </c>
      <c r="AM2535">
        <v>0</v>
      </c>
      <c r="AN2535">
        <v>0</v>
      </c>
      <c r="AO2535">
        <v>0</v>
      </c>
      <c r="AP2535">
        <v>140</v>
      </c>
      <c r="AT2535" t="str">
        <f t="shared" si="397"/>
        <v>9791137601314</v>
      </c>
      <c r="AV2535" t="str">
        <f t="shared" si="393"/>
        <v>판타지 웹소설 &gt; 퓨전 판타지</v>
      </c>
    </row>
    <row r="2536" spans="1:48" x14ac:dyDescent="0.4">
      <c r="A2536">
        <v>2313016617</v>
      </c>
      <c r="B2536">
        <v>2313016700</v>
      </c>
      <c r="C2536" t="str">
        <f>T("올마스터가 된 비전서고 84화")</f>
        <v>올마스터가 된 비전서고 84화</v>
      </c>
      <c r="D2536" t="str">
        <f>T("84")</f>
        <v>84</v>
      </c>
      <c r="E2536" t="str">
        <f t="shared" si="395"/>
        <v>글면증</v>
      </c>
      <c r="H2536" t="str">
        <f t="shared" si="394"/>
        <v>스토리위즈</v>
      </c>
      <c r="I2536" t="str">
        <f t="shared" si="396"/>
        <v>올마스터가 된 비전서고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200</v>
      </c>
      <c r="AH2536">
        <v>2</v>
      </c>
      <c r="AI2536">
        <v>0</v>
      </c>
      <c r="AJ2536">
        <v>0</v>
      </c>
      <c r="AK2536">
        <v>200</v>
      </c>
      <c r="AL2536">
        <v>0</v>
      </c>
      <c r="AM2536">
        <v>0</v>
      </c>
      <c r="AN2536">
        <v>0</v>
      </c>
      <c r="AO2536">
        <v>0</v>
      </c>
      <c r="AP2536">
        <v>140</v>
      </c>
      <c r="AT2536" t="str">
        <f t="shared" si="397"/>
        <v>9791137601314</v>
      </c>
      <c r="AV2536" t="str">
        <f t="shared" si="393"/>
        <v>판타지 웹소설 &gt; 퓨전 판타지</v>
      </c>
    </row>
    <row r="2537" spans="1:48" x14ac:dyDescent="0.4">
      <c r="A2537">
        <v>2313016617</v>
      </c>
      <c r="B2537">
        <v>2313016701</v>
      </c>
      <c r="C2537" t="str">
        <f>T("올마스터가 된 비전서고 85화")</f>
        <v>올마스터가 된 비전서고 85화</v>
      </c>
      <c r="D2537" t="str">
        <f>T("85")</f>
        <v>85</v>
      </c>
      <c r="E2537" t="str">
        <f t="shared" si="395"/>
        <v>글면증</v>
      </c>
      <c r="H2537" t="str">
        <f t="shared" si="394"/>
        <v>스토리위즈</v>
      </c>
      <c r="I2537" t="str">
        <f t="shared" si="396"/>
        <v>올마스터가 된 비전서고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200</v>
      </c>
      <c r="AH2537">
        <v>2</v>
      </c>
      <c r="AI2537">
        <v>0</v>
      </c>
      <c r="AJ2537">
        <v>0</v>
      </c>
      <c r="AK2537">
        <v>200</v>
      </c>
      <c r="AL2537">
        <v>0</v>
      </c>
      <c r="AM2537">
        <v>0</v>
      </c>
      <c r="AN2537">
        <v>0</v>
      </c>
      <c r="AO2537">
        <v>0</v>
      </c>
      <c r="AP2537">
        <v>140</v>
      </c>
      <c r="AT2537" t="str">
        <f t="shared" si="397"/>
        <v>9791137601314</v>
      </c>
      <c r="AV2537" t="str">
        <f t="shared" si="393"/>
        <v>판타지 웹소설 &gt; 퓨전 판타지</v>
      </c>
    </row>
    <row r="2538" spans="1:48" x14ac:dyDescent="0.4">
      <c r="A2538">
        <v>2313016617</v>
      </c>
      <c r="B2538">
        <v>2313016702</v>
      </c>
      <c r="C2538" t="str">
        <f>T("올마스터가 된 비전서고 86화")</f>
        <v>올마스터가 된 비전서고 86화</v>
      </c>
      <c r="D2538" t="str">
        <f>T("86")</f>
        <v>86</v>
      </c>
      <c r="E2538" t="str">
        <f t="shared" si="395"/>
        <v>글면증</v>
      </c>
      <c r="H2538" t="str">
        <f t="shared" si="394"/>
        <v>스토리위즈</v>
      </c>
      <c r="I2538" t="str">
        <f t="shared" si="396"/>
        <v>올마스터가 된 비전서고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200</v>
      </c>
      <c r="AH2538">
        <v>2</v>
      </c>
      <c r="AI2538">
        <v>0</v>
      </c>
      <c r="AJ2538">
        <v>0</v>
      </c>
      <c r="AK2538">
        <v>200</v>
      </c>
      <c r="AL2538">
        <v>0</v>
      </c>
      <c r="AM2538">
        <v>0</v>
      </c>
      <c r="AN2538">
        <v>0</v>
      </c>
      <c r="AO2538">
        <v>0</v>
      </c>
      <c r="AP2538">
        <v>140</v>
      </c>
      <c r="AT2538" t="str">
        <f t="shared" si="397"/>
        <v>9791137601314</v>
      </c>
      <c r="AV2538" t="str">
        <f t="shared" si="393"/>
        <v>판타지 웹소설 &gt; 퓨전 판타지</v>
      </c>
    </row>
    <row r="2539" spans="1:48" x14ac:dyDescent="0.4">
      <c r="A2539">
        <v>2313016617</v>
      </c>
      <c r="B2539">
        <v>2313016703</v>
      </c>
      <c r="C2539" t="str">
        <f>T("올마스터가 된 비전서고 87화")</f>
        <v>올마스터가 된 비전서고 87화</v>
      </c>
      <c r="D2539" t="str">
        <f>T("87")</f>
        <v>87</v>
      </c>
      <c r="E2539" t="str">
        <f t="shared" si="395"/>
        <v>글면증</v>
      </c>
      <c r="H2539" t="str">
        <f t="shared" si="394"/>
        <v>스토리위즈</v>
      </c>
      <c r="I2539" t="str">
        <f t="shared" si="396"/>
        <v>올마스터가 된 비전서고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</v>
      </c>
      <c r="AH2539">
        <v>2</v>
      </c>
      <c r="AI2539">
        <v>0</v>
      </c>
      <c r="AJ2539">
        <v>0</v>
      </c>
      <c r="AK2539">
        <v>200</v>
      </c>
      <c r="AL2539">
        <v>0</v>
      </c>
      <c r="AM2539">
        <v>0</v>
      </c>
      <c r="AN2539">
        <v>0</v>
      </c>
      <c r="AO2539">
        <v>0</v>
      </c>
      <c r="AP2539">
        <v>140</v>
      </c>
      <c r="AT2539" t="str">
        <f t="shared" si="397"/>
        <v>9791137601314</v>
      </c>
      <c r="AV2539" t="str">
        <f t="shared" si="393"/>
        <v>판타지 웹소설 &gt; 퓨전 판타지</v>
      </c>
    </row>
    <row r="2540" spans="1:48" x14ac:dyDescent="0.4">
      <c r="A2540">
        <v>2313016617</v>
      </c>
      <c r="B2540">
        <v>2313016704</v>
      </c>
      <c r="C2540" t="str">
        <f>T("올마스터가 된 비전서고 88화")</f>
        <v>올마스터가 된 비전서고 88화</v>
      </c>
      <c r="D2540" t="str">
        <f>T("88")</f>
        <v>88</v>
      </c>
      <c r="E2540" t="str">
        <f t="shared" si="395"/>
        <v>글면증</v>
      </c>
      <c r="H2540" t="str">
        <f t="shared" si="394"/>
        <v>스토리위즈</v>
      </c>
      <c r="I2540" t="str">
        <f t="shared" si="396"/>
        <v>올마스터가 된 비전서고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200</v>
      </c>
      <c r="AH2540">
        <v>2</v>
      </c>
      <c r="AI2540">
        <v>0</v>
      </c>
      <c r="AJ2540">
        <v>0</v>
      </c>
      <c r="AK2540">
        <v>200</v>
      </c>
      <c r="AL2540">
        <v>0</v>
      </c>
      <c r="AM2540">
        <v>0</v>
      </c>
      <c r="AN2540">
        <v>0</v>
      </c>
      <c r="AO2540">
        <v>0</v>
      </c>
      <c r="AP2540">
        <v>140</v>
      </c>
      <c r="AT2540" t="str">
        <f t="shared" si="397"/>
        <v>9791137601314</v>
      </c>
      <c r="AV2540" t="str">
        <f t="shared" si="393"/>
        <v>판타지 웹소설 &gt; 퓨전 판타지</v>
      </c>
    </row>
    <row r="2541" spans="1:48" x14ac:dyDescent="0.4">
      <c r="A2541">
        <v>2313016617</v>
      </c>
      <c r="B2541">
        <v>2313016705</v>
      </c>
      <c r="C2541" t="str">
        <f>T("올마스터가 된 비전서고 89화")</f>
        <v>올마스터가 된 비전서고 89화</v>
      </c>
      <c r="D2541" t="str">
        <f>T("89")</f>
        <v>89</v>
      </c>
      <c r="E2541" t="str">
        <f t="shared" si="395"/>
        <v>글면증</v>
      </c>
      <c r="H2541" t="str">
        <f t="shared" si="394"/>
        <v>스토리위즈</v>
      </c>
      <c r="I2541" t="str">
        <f t="shared" si="396"/>
        <v>올마스터가 된 비전서고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200</v>
      </c>
      <c r="AH2541">
        <v>2</v>
      </c>
      <c r="AI2541">
        <v>0</v>
      </c>
      <c r="AJ2541">
        <v>0</v>
      </c>
      <c r="AK2541">
        <v>200</v>
      </c>
      <c r="AL2541">
        <v>0</v>
      </c>
      <c r="AM2541">
        <v>0</v>
      </c>
      <c r="AN2541">
        <v>0</v>
      </c>
      <c r="AO2541">
        <v>0</v>
      </c>
      <c r="AP2541">
        <v>140</v>
      </c>
      <c r="AT2541" t="str">
        <f t="shared" si="397"/>
        <v>9791137601314</v>
      </c>
      <c r="AV2541" t="str">
        <f t="shared" si="393"/>
        <v>판타지 웹소설 &gt; 퓨전 판타지</v>
      </c>
    </row>
    <row r="2542" spans="1:48" x14ac:dyDescent="0.4">
      <c r="A2542">
        <v>2313016617</v>
      </c>
      <c r="B2542">
        <v>2313016706</v>
      </c>
      <c r="C2542" t="str">
        <f>T("올마스터가 된 비전서고 90화")</f>
        <v>올마스터가 된 비전서고 90화</v>
      </c>
      <c r="D2542" t="str">
        <f>T("90")</f>
        <v>90</v>
      </c>
      <c r="E2542" t="str">
        <f t="shared" si="395"/>
        <v>글면증</v>
      </c>
      <c r="H2542" t="str">
        <f t="shared" si="394"/>
        <v>스토리위즈</v>
      </c>
      <c r="I2542" t="str">
        <f t="shared" si="396"/>
        <v>올마스터가 된 비전서고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200</v>
      </c>
      <c r="AH2542">
        <v>2</v>
      </c>
      <c r="AI2542">
        <v>0</v>
      </c>
      <c r="AJ2542">
        <v>0</v>
      </c>
      <c r="AK2542">
        <v>200</v>
      </c>
      <c r="AL2542">
        <v>0</v>
      </c>
      <c r="AM2542">
        <v>0</v>
      </c>
      <c r="AN2542">
        <v>0</v>
      </c>
      <c r="AO2542">
        <v>0</v>
      </c>
      <c r="AP2542">
        <v>140</v>
      </c>
      <c r="AT2542" t="str">
        <f t="shared" si="397"/>
        <v>9791137601314</v>
      </c>
      <c r="AV2542" t="str">
        <f t="shared" si="393"/>
        <v>판타지 웹소설 &gt; 퓨전 판타지</v>
      </c>
    </row>
    <row r="2543" spans="1:48" x14ac:dyDescent="0.4">
      <c r="A2543">
        <v>2313016617</v>
      </c>
      <c r="B2543">
        <v>2313016707</v>
      </c>
      <c r="C2543" t="str">
        <f>T("올마스터가 된 비전서고 91화")</f>
        <v>올마스터가 된 비전서고 91화</v>
      </c>
      <c r="D2543" t="str">
        <f>T("91")</f>
        <v>91</v>
      </c>
      <c r="E2543" t="str">
        <f t="shared" si="395"/>
        <v>글면증</v>
      </c>
      <c r="H2543" t="str">
        <f t="shared" si="394"/>
        <v>스토리위즈</v>
      </c>
      <c r="I2543" t="str">
        <f t="shared" si="396"/>
        <v>올마스터가 된 비전서고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200</v>
      </c>
      <c r="AH2543">
        <v>2</v>
      </c>
      <c r="AI2543">
        <v>0</v>
      </c>
      <c r="AJ2543">
        <v>0</v>
      </c>
      <c r="AK2543">
        <v>200</v>
      </c>
      <c r="AL2543">
        <v>0</v>
      </c>
      <c r="AM2543">
        <v>0</v>
      </c>
      <c r="AN2543">
        <v>0</v>
      </c>
      <c r="AO2543">
        <v>0</v>
      </c>
      <c r="AP2543">
        <v>140</v>
      </c>
      <c r="AT2543" t="str">
        <f t="shared" si="397"/>
        <v>9791137601314</v>
      </c>
      <c r="AV2543" t="str">
        <f t="shared" si="393"/>
        <v>판타지 웹소설 &gt; 퓨전 판타지</v>
      </c>
    </row>
    <row r="2544" spans="1:48" x14ac:dyDescent="0.4">
      <c r="A2544">
        <v>2313016617</v>
      </c>
      <c r="B2544">
        <v>2313016708</v>
      </c>
      <c r="C2544" t="str">
        <f>T("올마스터가 된 비전서고 92화")</f>
        <v>올마스터가 된 비전서고 92화</v>
      </c>
      <c r="D2544" t="str">
        <f>T("92")</f>
        <v>92</v>
      </c>
      <c r="E2544" t="str">
        <f t="shared" si="395"/>
        <v>글면증</v>
      </c>
      <c r="H2544" t="str">
        <f t="shared" si="394"/>
        <v>스토리위즈</v>
      </c>
      <c r="I2544" t="str">
        <f t="shared" si="396"/>
        <v>올마스터가 된 비전서고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</v>
      </c>
      <c r="AH2544">
        <v>2</v>
      </c>
      <c r="AI2544">
        <v>0</v>
      </c>
      <c r="AJ2544">
        <v>0</v>
      </c>
      <c r="AK2544">
        <v>200</v>
      </c>
      <c r="AL2544">
        <v>0</v>
      </c>
      <c r="AM2544">
        <v>0</v>
      </c>
      <c r="AN2544">
        <v>0</v>
      </c>
      <c r="AO2544">
        <v>0</v>
      </c>
      <c r="AP2544">
        <v>140</v>
      </c>
      <c r="AT2544" t="str">
        <f t="shared" si="397"/>
        <v>9791137601314</v>
      </c>
      <c r="AV2544" t="str">
        <f t="shared" si="393"/>
        <v>판타지 웹소설 &gt; 퓨전 판타지</v>
      </c>
    </row>
    <row r="2545" spans="1:48" x14ac:dyDescent="0.4">
      <c r="A2545">
        <v>2313016617</v>
      </c>
      <c r="B2545">
        <v>2313016709</v>
      </c>
      <c r="C2545" t="str">
        <f>T("올마스터가 된 비전서고 93화")</f>
        <v>올마스터가 된 비전서고 93화</v>
      </c>
      <c r="D2545" t="str">
        <f>T("93")</f>
        <v>93</v>
      </c>
      <c r="E2545" t="str">
        <f t="shared" si="395"/>
        <v>글면증</v>
      </c>
      <c r="H2545" t="str">
        <f t="shared" si="394"/>
        <v>스토리위즈</v>
      </c>
      <c r="I2545" t="str">
        <f t="shared" si="396"/>
        <v>올마스터가 된 비전서고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200</v>
      </c>
      <c r="AH2545">
        <v>2</v>
      </c>
      <c r="AI2545">
        <v>0</v>
      </c>
      <c r="AJ2545">
        <v>0</v>
      </c>
      <c r="AK2545">
        <v>200</v>
      </c>
      <c r="AL2545">
        <v>0</v>
      </c>
      <c r="AM2545">
        <v>0</v>
      </c>
      <c r="AN2545">
        <v>0</v>
      </c>
      <c r="AO2545">
        <v>0</v>
      </c>
      <c r="AP2545">
        <v>140</v>
      </c>
      <c r="AT2545" t="str">
        <f t="shared" si="397"/>
        <v>9791137601314</v>
      </c>
      <c r="AV2545" t="str">
        <f t="shared" si="393"/>
        <v>판타지 웹소설 &gt; 퓨전 판타지</v>
      </c>
    </row>
    <row r="2546" spans="1:48" x14ac:dyDescent="0.4">
      <c r="A2546">
        <v>2313016617</v>
      </c>
      <c r="B2546">
        <v>2313016710</v>
      </c>
      <c r="C2546" t="str">
        <f>T("올마스터가 된 비전서고 94화")</f>
        <v>올마스터가 된 비전서고 94화</v>
      </c>
      <c r="D2546" t="str">
        <f>T("94")</f>
        <v>94</v>
      </c>
      <c r="E2546" t="str">
        <f t="shared" si="395"/>
        <v>글면증</v>
      </c>
      <c r="H2546" t="str">
        <f t="shared" si="394"/>
        <v>스토리위즈</v>
      </c>
      <c r="I2546" t="str">
        <f t="shared" si="396"/>
        <v>올마스터가 된 비전서고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200</v>
      </c>
      <c r="AH2546">
        <v>2</v>
      </c>
      <c r="AI2546">
        <v>0</v>
      </c>
      <c r="AJ2546">
        <v>0</v>
      </c>
      <c r="AK2546">
        <v>200</v>
      </c>
      <c r="AL2546">
        <v>0</v>
      </c>
      <c r="AM2546">
        <v>0</v>
      </c>
      <c r="AN2546">
        <v>0</v>
      </c>
      <c r="AO2546">
        <v>0</v>
      </c>
      <c r="AP2546">
        <v>140</v>
      </c>
      <c r="AT2546" t="str">
        <f t="shared" si="397"/>
        <v>9791137601314</v>
      </c>
      <c r="AV2546" t="str">
        <f t="shared" si="393"/>
        <v>판타지 웹소설 &gt; 퓨전 판타지</v>
      </c>
    </row>
    <row r="2547" spans="1:48" x14ac:dyDescent="0.4">
      <c r="A2547">
        <v>2313016617</v>
      </c>
      <c r="B2547">
        <v>2313016711</v>
      </c>
      <c r="C2547" t="str">
        <f>T("올마스터가 된 비전서고 95화")</f>
        <v>올마스터가 된 비전서고 95화</v>
      </c>
      <c r="D2547" t="str">
        <f>T("95")</f>
        <v>95</v>
      </c>
      <c r="E2547" t="str">
        <f t="shared" si="395"/>
        <v>글면증</v>
      </c>
      <c r="H2547" t="str">
        <f t="shared" si="394"/>
        <v>스토리위즈</v>
      </c>
      <c r="I2547" t="str">
        <f t="shared" si="396"/>
        <v>올마스터가 된 비전서고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200</v>
      </c>
      <c r="AH2547">
        <v>2</v>
      </c>
      <c r="AI2547">
        <v>0</v>
      </c>
      <c r="AJ2547">
        <v>0</v>
      </c>
      <c r="AK2547">
        <v>200</v>
      </c>
      <c r="AL2547">
        <v>0</v>
      </c>
      <c r="AM2547">
        <v>0</v>
      </c>
      <c r="AN2547">
        <v>0</v>
      </c>
      <c r="AO2547">
        <v>0</v>
      </c>
      <c r="AP2547">
        <v>140</v>
      </c>
      <c r="AT2547" t="str">
        <f t="shared" si="397"/>
        <v>9791137601314</v>
      </c>
      <c r="AV2547" t="str">
        <f t="shared" si="393"/>
        <v>판타지 웹소설 &gt; 퓨전 판타지</v>
      </c>
    </row>
    <row r="2548" spans="1:48" x14ac:dyDescent="0.4">
      <c r="A2548">
        <v>2313016617</v>
      </c>
      <c r="B2548">
        <v>2313016747</v>
      </c>
      <c r="C2548" t="str">
        <f>T("올마스터가 된 비전서고 131화")</f>
        <v>올마스터가 된 비전서고 131화</v>
      </c>
      <c r="D2548" t="str">
        <f>T("131")</f>
        <v>131</v>
      </c>
      <c r="E2548" t="str">
        <f t="shared" si="395"/>
        <v>글면증</v>
      </c>
      <c r="H2548" t="str">
        <f t="shared" si="394"/>
        <v>스토리위즈</v>
      </c>
      <c r="I2548" t="str">
        <f t="shared" si="396"/>
        <v>올마스터가 된 비전서고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200</v>
      </c>
      <c r="AH2548">
        <v>2</v>
      </c>
      <c r="AI2548">
        <v>0</v>
      </c>
      <c r="AJ2548">
        <v>0</v>
      </c>
      <c r="AK2548">
        <v>200</v>
      </c>
      <c r="AL2548">
        <v>0</v>
      </c>
      <c r="AM2548">
        <v>0</v>
      </c>
      <c r="AN2548">
        <v>0</v>
      </c>
      <c r="AO2548">
        <v>0</v>
      </c>
      <c r="AP2548">
        <v>140</v>
      </c>
      <c r="AT2548" t="str">
        <f t="shared" si="397"/>
        <v>9791137601314</v>
      </c>
      <c r="AV2548" t="str">
        <f t="shared" si="393"/>
        <v>판타지 웹소설 &gt; 퓨전 판타지</v>
      </c>
    </row>
    <row r="2549" spans="1:48" x14ac:dyDescent="0.4">
      <c r="A2549">
        <v>2313017252</v>
      </c>
      <c r="B2549">
        <v>2313017292</v>
      </c>
      <c r="C2549" t="str">
        <f>T("신들의 알바나라 41화")</f>
        <v>신들의 알바나라 41화</v>
      </c>
      <c r="D2549" t="str">
        <f>T("41")</f>
        <v>41</v>
      </c>
      <c r="E2549" t="str">
        <f>T("갓띵작")</f>
        <v>갓띵작</v>
      </c>
      <c r="H2549" t="str">
        <f t="shared" si="394"/>
        <v>스토리위즈</v>
      </c>
      <c r="I2549" t="str">
        <f>T("신들의 알바나라")</f>
        <v>신들의 알바나라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200</v>
      </c>
      <c r="AH2549">
        <v>2</v>
      </c>
      <c r="AI2549">
        <v>0</v>
      </c>
      <c r="AJ2549">
        <v>0</v>
      </c>
      <c r="AK2549">
        <v>200</v>
      </c>
      <c r="AL2549">
        <v>0</v>
      </c>
      <c r="AM2549">
        <v>0</v>
      </c>
      <c r="AN2549">
        <v>0</v>
      </c>
      <c r="AO2549">
        <v>0</v>
      </c>
      <c r="AP2549">
        <v>140</v>
      </c>
      <c r="AT2549" t="str">
        <f>T("9791137603950")</f>
        <v>9791137603950</v>
      </c>
      <c r="AV2549" t="str">
        <f t="shared" si="393"/>
        <v>판타지 웹소설 &gt; 퓨전 판타지</v>
      </c>
    </row>
    <row r="2550" spans="1:48" x14ac:dyDescent="0.4">
      <c r="A2550">
        <v>2313017252</v>
      </c>
      <c r="B2550">
        <v>2313017293</v>
      </c>
      <c r="C2550" t="str">
        <f>T("신들의 알바나라 42화")</f>
        <v>신들의 알바나라 42화</v>
      </c>
      <c r="D2550" t="str">
        <f>T("42")</f>
        <v>42</v>
      </c>
      <c r="E2550" t="str">
        <f>T("갓띵작")</f>
        <v>갓띵작</v>
      </c>
      <c r="H2550" t="str">
        <f t="shared" si="394"/>
        <v>스토리위즈</v>
      </c>
      <c r="I2550" t="str">
        <f>T("신들의 알바나라")</f>
        <v>신들의 알바나라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200</v>
      </c>
      <c r="AH2550">
        <v>2</v>
      </c>
      <c r="AI2550">
        <v>0</v>
      </c>
      <c r="AJ2550">
        <v>0</v>
      </c>
      <c r="AK2550">
        <v>200</v>
      </c>
      <c r="AL2550">
        <v>0</v>
      </c>
      <c r="AM2550">
        <v>0</v>
      </c>
      <c r="AN2550">
        <v>0</v>
      </c>
      <c r="AO2550">
        <v>0</v>
      </c>
      <c r="AP2550">
        <v>140</v>
      </c>
      <c r="AT2550" t="str">
        <f>T("9791137603950")</f>
        <v>9791137603950</v>
      </c>
      <c r="AV2550" t="str">
        <f t="shared" si="393"/>
        <v>판타지 웹소설 &gt; 퓨전 판타지</v>
      </c>
    </row>
    <row r="2551" spans="1:48" x14ac:dyDescent="0.4">
      <c r="A2551">
        <v>2313017252</v>
      </c>
      <c r="B2551">
        <v>2313017294</v>
      </c>
      <c r="C2551" t="str">
        <f>T("신들의 알바나라 43화")</f>
        <v>신들의 알바나라 43화</v>
      </c>
      <c r="D2551" t="str">
        <f>T("43")</f>
        <v>43</v>
      </c>
      <c r="E2551" t="str">
        <f>T("갓띵작")</f>
        <v>갓띵작</v>
      </c>
      <c r="H2551" t="str">
        <f t="shared" si="394"/>
        <v>스토리위즈</v>
      </c>
      <c r="I2551" t="str">
        <f>T("신들의 알바나라")</f>
        <v>신들의 알바나라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200</v>
      </c>
      <c r="AH2551">
        <v>2</v>
      </c>
      <c r="AI2551">
        <v>0</v>
      </c>
      <c r="AJ2551">
        <v>0</v>
      </c>
      <c r="AK2551">
        <v>200</v>
      </c>
      <c r="AL2551">
        <v>0</v>
      </c>
      <c r="AM2551">
        <v>0</v>
      </c>
      <c r="AN2551">
        <v>0</v>
      </c>
      <c r="AO2551">
        <v>0</v>
      </c>
      <c r="AP2551">
        <v>140</v>
      </c>
      <c r="AT2551" t="str">
        <f>T("9791137603950")</f>
        <v>9791137603950</v>
      </c>
      <c r="AV2551" t="str">
        <f t="shared" si="393"/>
        <v>판타지 웹소설 &gt; 퓨전 판타지</v>
      </c>
    </row>
    <row r="2552" spans="1:48" x14ac:dyDescent="0.4">
      <c r="A2552">
        <v>2313017461</v>
      </c>
      <c r="B2552">
        <v>2313017645</v>
      </c>
      <c r="C2552" t="str">
        <f>T("사냥꾼은 마왕이 되기 싫다 185화 (완결)")</f>
        <v>사냥꾼은 마왕이 되기 싫다 185화 (완결)</v>
      </c>
      <c r="D2552" t="str">
        <f>T("185")</f>
        <v>185</v>
      </c>
      <c r="E2552" t="str">
        <f>T("강명운")</f>
        <v>강명운</v>
      </c>
      <c r="H2552" t="str">
        <f>T("스토리아크")</f>
        <v>스토리아크</v>
      </c>
      <c r="I2552" t="str">
        <f>T("사냥꾼은 마왕이 되기 싫다")</f>
        <v>사냥꾼은 마왕이 되기 싫다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200</v>
      </c>
      <c r="AH2552">
        <v>3</v>
      </c>
      <c r="AI2552">
        <v>0</v>
      </c>
      <c r="AJ2552">
        <v>0</v>
      </c>
      <c r="AK2552">
        <v>200</v>
      </c>
      <c r="AL2552">
        <v>0</v>
      </c>
      <c r="AM2552">
        <v>0</v>
      </c>
      <c r="AN2552">
        <v>0</v>
      </c>
      <c r="AO2552">
        <v>0</v>
      </c>
      <c r="AP2552">
        <v>140</v>
      </c>
      <c r="AR2552" t="str">
        <f>T("0000000000000")</f>
        <v>0000000000000</v>
      </c>
      <c r="AT2552" t="str">
        <f>T("9791191039269")</f>
        <v>9791191039269</v>
      </c>
      <c r="AV2552" t="str">
        <f>T("판타지 웹소설 &gt; 정통 판타지")</f>
        <v>판타지 웹소설 &gt; 정통 판타지</v>
      </c>
    </row>
    <row r="2553" spans="1:48" x14ac:dyDescent="0.4">
      <c r="A2553">
        <v>2313002926</v>
      </c>
      <c r="B2553">
        <v>2313002955</v>
      </c>
      <c r="C2553" t="str">
        <f>T("나 혼자만 일일 보상 30화")</f>
        <v>나 혼자만 일일 보상 30화</v>
      </c>
      <c r="D2553" t="str">
        <f>T("30")</f>
        <v>30</v>
      </c>
      <c r="E2553" t="str">
        <f t="shared" ref="E2553:E2573" si="398">T("이동열")</f>
        <v>이동열</v>
      </c>
      <c r="H2553" t="str">
        <f t="shared" ref="H2553:H2616" si="399">T("스토리위즈")</f>
        <v>스토리위즈</v>
      </c>
      <c r="I2553" t="str">
        <f t="shared" ref="I2553:I2573" si="400">T("나 혼자만 일일 보상")</f>
        <v>나 혼자만 일일 보상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70</v>
      </c>
      <c r="AT2553" t="str">
        <f t="shared" ref="AT2553:AT2573" si="401">T("9791159286889")</f>
        <v>9791159286889</v>
      </c>
      <c r="AV2553" t="str">
        <f t="shared" ref="AV2553:AV2616" si="402">T("판타지 웹소설 &gt; 현대 판타지")</f>
        <v>판타지 웹소설 &gt; 현대 판타지</v>
      </c>
    </row>
    <row r="2554" spans="1:48" x14ac:dyDescent="0.4">
      <c r="A2554">
        <v>2313002926</v>
      </c>
      <c r="B2554">
        <v>2313002956</v>
      </c>
      <c r="C2554" t="str">
        <f>T("나 혼자만 일일 보상 31화")</f>
        <v>나 혼자만 일일 보상 31화</v>
      </c>
      <c r="D2554" t="str">
        <f>T("31")</f>
        <v>31</v>
      </c>
      <c r="E2554" t="str">
        <f t="shared" si="398"/>
        <v>이동열</v>
      </c>
      <c r="H2554" t="str">
        <f t="shared" si="399"/>
        <v>스토리위즈</v>
      </c>
      <c r="I2554" t="str">
        <f t="shared" si="400"/>
        <v>나 혼자만 일일 보상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T2554" t="str">
        <f t="shared" si="401"/>
        <v>9791159286889</v>
      </c>
      <c r="AV2554" t="str">
        <f t="shared" si="402"/>
        <v>판타지 웹소설 &gt; 현대 판타지</v>
      </c>
    </row>
    <row r="2555" spans="1:48" x14ac:dyDescent="0.4">
      <c r="A2555">
        <v>2313002926</v>
      </c>
      <c r="B2555">
        <v>2313002957</v>
      </c>
      <c r="C2555" t="str">
        <f>T("나 혼자만 일일 보상 32화")</f>
        <v>나 혼자만 일일 보상 32화</v>
      </c>
      <c r="D2555" t="str">
        <f>T("32")</f>
        <v>32</v>
      </c>
      <c r="E2555" t="str">
        <f t="shared" si="398"/>
        <v>이동열</v>
      </c>
      <c r="H2555" t="str">
        <f t="shared" si="399"/>
        <v>스토리위즈</v>
      </c>
      <c r="I2555" t="str">
        <f t="shared" si="400"/>
        <v>나 혼자만 일일 보상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T2555" t="str">
        <f t="shared" si="401"/>
        <v>9791159286889</v>
      </c>
      <c r="AV2555" t="str">
        <f t="shared" si="402"/>
        <v>판타지 웹소설 &gt; 현대 판타지</v>
      </c>
    </row>
    <row r="2556" spans="1:48" x14ac:dyDescent="0.4">
      <c r="A2556">
        <v>2313002926</v>
      </c>
      <c r="B2556">
        <v>2313002958</v>
      </c>
      <c r="C2556" t="str">
        <f>T("나 혼자만 일일 보상 33화")</f>
        <v>나 혼자만 일일 보상 33화</v>
      </c>
      <c r="D2556" t="str">
        <f>T("33")</f>
        <v>33</v>
      </c>
      <c r="E2556" t="str">
        <f t="shared" si="398"/>
        <v>이동열</v>
      </c>
      <c r="H2556" t="str">
        <f t="shared" si="399"/>
        <v>스토리위즈</v>
      </c>
      <c r="I2556" t="str">
        <f t="shared" si="400"/>
        <v>나 혼자만 일일 보상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T2556" t="str">
        <f t="shared" si="401"/>
        <v>9791159286889</v>
      </c>
      <c r="AV2556" t="str">
        <f t="shared" si="402"/>
        <v>판타지 웹소설 &gt; 현대 판타지</v>
      </c>
    </row>
    <row r="2557" spans="1:48" x14ac:dyDescent="0.4">
      <c r="A2557">
        <v>2313002926</v>
      </c>
      <c r="B2557">
        <v>2313002959</v>
      </c>
      <c r="C2557" t="str">
        <f>T("나 혼자만 일일 보상 35화")</f>
        <v>나 혼자만 일일 보상 35화</v>
      </c>
      <c r="D2557" t="str">
        <f>T("35")</f>
        <v>35</v>
      </c>
      <c r="E2557" t="str">
        <f t="shared" si="398"/>
        <v>이동열</v>
      </c>
      <c r="H2557" t="str">
        <f t="shared" si="399"/>
        <v>스토리위즈</v>
      </c>
      <c r="I2557" t="str">
        <f t="shared" si="400"/>
        <v>나 혼자만 일일 보상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T2557" t="str">
        <f t="shared" si="401"/>
        <v>9791159286889</v>
      </c>
      <c r="AV2557" t="str">
        <f t="shared" si="402"/>
        <v>판타지 웹소설 &gt; 현대 판타지</v>
      </c>
    </row>
    <row r="2558" spans="1:48" x14ac:dyDescent="0.4">
      <c r="A2558">
        <v>2313002926</v>
      </c>
      <c r="B2558">
        <v>2313002960</v>
      </c>
      <c r="C2558" t="str">
        <f>T("나 혼자만 일일 보상 36화")</f>
        <v>나 혼자만 일일 보상 36화</v>
      </c>
      <c r="D2558" t="str">
        <f>T("36")</f>
        <v>36</v>
      </c>
      <c r="E2558" t="str">
        <f t="shared" si="398"/>
        <v>이동열</v>
      </c>
      <c r="H2558" t="str">
        <f t="shared" si="399"/>
        <v>스토리위즈</v>
      </c>
      <c r="I2558" t="str">
        <f t="shared" si="400"/>
        <v>나 혼자만 일일 보상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T2558" t="str">
        <f t="shared" si="401"/>
        <v>9791159286889</v>
      </c>
      <c r="AV2558" t="str">
        <f t="shared" si="402"/>
        <v>판타지 웹소설 &gt; 현대 판타지</v>
      </c>
    </row>
    <row r="2559" spans="1:48" x14ac:dyDescent="0.4">
      <c r="A2559">
        <v>2313002926</v>
      </c>
      <c r="B2559">
        <v>2313002961</v>
      </c>
      <c r="C2559" t="str">
        <f>T("나 혼자만 일일 보상 37화")</f>
        <v>나 혼자만 일일 보상 37화</v>
      </c>
      <c r="D2559" t="str">
        <f>T("37")</f>
        <v>37</v>
      </c>
      <c r="E2559" t="str">
        <f t="shared" si="398"/>
        <v>이동열</v>
      </c>
      <c r="H2559" t="str">
        <f t="shared" si="399"/>
        <v>스토리위즈</v>
      </c>
      <c r="I2559" t="str">
        <f t="shared" si="400"/>
        <v>나 혼자만 일일 보상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T2559" t="str">
        <f t="shared" si="401"/>
        <v>9791159286889</v>
      </c>
      <c r="AV2559" t="str">
        <f t="shared" si="402"/>
        <v>판타지 웹소설 &gt; 현대 판타지</v>
      </c>
    </row>
    <row r="2560" spans="1:48" x14ac:dyDescent="0.4">
      <c r="A2560">
        <v>2313002926</v>
      </c>
      <c r="B2560">
        <v>2313002962</v>
      </c>
      <c r="C2560" t="str">
        <f>T("나 혼자만 일일 보상 38화")</f>
        <v>나 혼자만 일일 보상 38화</v>
      </c>
      <c r="D2560" t="str">
        <f>T("38")</f>
        <v>38</v>
      </c>
      <c r="E2560" t="str">
        <f t="shared" si="398"/>
        <v>이동열</v>
      </c>
      <c r="H2560" t="str">
        <f t="shared" si="399"/>
        <v>스토리위즈</v>
      </c>
      <c r="I2560" t="str">
        <f t="shared" si="400"/>
        <v>나 혼자만 일일 보상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T2560" t="str">
        <f t="shared" si="401"/>
        <v>9791159286889</v>
      </c>
      <c r="AV2560" t="str">
        <f t="shared" si="402"/>
        <v>판타지 웹소설 &gt; 현대 판타지</v>
      </c>
    </row>
    <row r="2561" spans="1:48" x14ac:dyDescent="0.4">
      <c r="A2561">
        <v>2313002926</v>
      </c>
      <c r="B2561">
        <v>2313002963</v>
      </c>
      <c r="C2561" t="str">
        <f>T("나 혼자만 일일 보상 39화")</f>
        <v>나 혼자만 일일 보상 39화</v>
      </c>
      <c r="D2561" t="str">
        <f>T("39")</f>
        <v>39</v>
      </c>
      <c r="E2561" t="str">
        <f t="shared" si="398"/>
        <v>이동열</v>
      </c>
      <c r="H2561" t="str">
        <f t="shared" si="399"/>
        <v>스토리위즈</v>
      </c>
      <c r="I2561" t="str">
        <f t="shared" si="400"/>
        <v>나 혼자만 일일 보상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T2561" t="str">
        <f t="shared" si="401"/>
        <v>9791159286889</v>
      </c>
      <c r="AV2561" t="str">
        <f t="shared" si="402"/>
        <v>판타지 웹소설 &gt; 현대 판타지</v>
      </c>
    </row>
    <row r="2562" spans="1:48" x14ac:dyDescent="0.4">
      <c r="A2562">
        <v>2313002926</v>
      </c>
      <c r="B2562">
        <v>2313002964</v>
      </c>
      <c r="C2562" t="str">
        <f>T("나 혼자만 일일 보상 40화")</f>
        <v>나 혼자만 일일 보상 40화</v>
      </c>
      <c r="D2562" t="str">
        <f>T("40")</f>
        <v>40</v>
      </c>
      <c r="E2562" t="str">
        <f t="shared" si="398"/>
        <v>이동열</v>
      </c>
      <c r="H2562" t="str">
        <f t="shared" si="399"/>
        <v>스토리위즈</v>
      </c>
      <c r="I2562" t="str">
        <f t="shared" si="400"/>
        <v>나 혼자만 일일 보상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T2562" t="str">
        <f t="shared" si="401"/>
        <v>9791159286889</v>
      </c>
      <c r="AV2562" t="str">
        <f t="shared" si="402"/>
        <v>판타지 웹소설 &gt; 현대 판타지</v>
      </c>
    </row>
    <row r="2563" spans="1:48" x14ac:dyDescent="0.4">
      <c r="A2563">
        <v>2313002926</v>
      </c>
      <c r="B2563">
        <v>2313002965</v>
      </c>
      <c r="C2563" t="str">
        <f>T("나 혼자만 일일 보상 41화")</f>
        <v>나 혼자만 일일 보상 41화</v>
      </c>
      <c r="D2563" t="str">
        <f>T("41")</f>
        <v>41</v>
      </c>
      <c r="E2563" t="str">
        <f t="shared" si="398"/>
        <v>이동열</v>
      </c>
      <c r="H2563" t="str">
        <f t="shared" si="399"/>
        <v>스토리위즈</v>
      </c>
      <c r="I2563" t="str">
        <f t="shared" si="400"/>
        <v>나 혼자만 일일 보상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T2563" t="str">
        <f t="shared" si="401"/>
        <v>9791159286889</v>
      </c>
      <c r="AV2563" t="str">
        <f t="shared" si="402"/>
        <v>판타지 웹소설 &gt; 현대 판타지</v>
      </c>
    </row>
    <row r="2564" spans="1:48" x14ac:dyDescent="0.4">
      <c r="A2564">
        <v>2313002926</v>
      </c>
      <c r="B2564">
        <v>2313002966</v>
      </c>
      <c r="C2564" t="str">
        <f>T("나 혼자만 일일 보상 42화")</f>
        <v>나 혼자만 일일 보상 42화</v>
      </c>
      <c r="D2564" t="str">
        <f>T("42")</f>
        <v>42</v>
      </c>
      <c r="E2564" t="str">
        <f t="shared" si="398"/>
        <v>이동열</v>
      </c>
      <c r="H2564" t="str">
        <f t="shared" si="399"/>
        <v>스토리위즈</v>
      </c>
      <c r="I2564" t="str">
        <f t="shared" si="400"/>
        <v>나 혼자만 일일 보상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T2564" t="str">
        <f t="shared" si="401"/>
        <v>9791159286889</v>
      </c>
      <c r="AV2564" t="str">
        <f t="shared" si="402"/>
        <v>판타지 웹소설 &gt; 현대 판타지</v>
      </c>
    </row>
    <row r="2565" spans="1:48" x14ac:dyDescent="0.4">
      <c r="A2565">
        <v>2313002926</v>
      </c>
      <c r="B2565">
        <v>2313002967</v>
      </c>
      <c r="C2565" t="str">
        <f>T("나 혼자만 일일 보상 43화")</f>
        <v>나 혼자만 일일 보상 43화</v>
      </c>
      <c r="D2565" t="str">
        <f>T("43")</f>
        <v>43</v>
      </c>
      <c r="E2565" t="str">
        <f t="shared" si="398"/>
        <v>이동열</v>
      </c>
      <c r="H2565" t="str">
        <f t="shared" si="399"/>
        <v>스토리위즈</v>
      </c>
      <c r="I2565" t="str">
        <f t="shared" si="400"/>
        <v>나 혼자만 일일 보상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T2565" t="str">
        <f t="shared" si="401"/>
        <v>9791159286889</v>
      </c>
      <c r="AV2565" t="str">
        <f t="shared" si="402"/>
        <v>판타지 웹소설 &gt; 현대 판타지</v>
      </c>
    </row>
    <row r="2566" spans="1:48" x14ac:dyDescent="0.4">
      <c r="A2566">
        <v>2313002926</v>
      </c>
      <c r="B2566">
        <v>2313002968</v>
      </c>
      <c r="C2566" t="str">
        <f>T("나 혼자만 일일 보상 44화")</f>
        <v>나 혼자만 일일 보상 44화</v>
      </c>
      <c r="D2566" t="str">
        <f>T("44")</f>
        <v>44</v>
      </c>
      <c r="E2566" t="str">
        <f t="shared" si="398"/>
        <v>이동열</v>
      </c>
      <c r="H2566" t="str">
        <f t="shared" si="399"/>
        <v>스토리위즈</v>
      </c>
      <c r="I2566" t="str">
        <f t="shared" si="400"/>
        <v>나 혼자만 일일 보상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T2566" t="str">
        <f t="shared" si="401"/>
        <v>9791159286889</v>
      </c>
      <c r="AV2566" t="str">
        <f t="shared" si="402"/>
        <v>판타지 웹소설 &gt; 현대 판타지</v>
      </c>
    </row>
    <row r="2567" spans="1:48" x14ac:dyDescent="0.4">
      <c r="A2567">
        <v>2313002926</v>
      </c>
      <c r="B2567">
        <v>2313002969</v>
      </c>
      <c r="C2567" t="str">
        <f>T("나 혼자만 일일 보상 45화")</f>
        <v>나 혼자만 일일 보상 45화</v>
      </c>
      <c r="D2567" t="str">
        <f>T("45")</f>
        <v>45</v>
      </c>
      <c r="E2567" t="str">
        <f t="shared" si="398"/>
        <v>이동열</v>
      </c>
      <c r="H2567" t="str">
        <f t="shared" si="399"/>
        <v>스토리위즈</v>
      </c>
      <c r="I2567" t="str">
        <f t="shared" si="400"/>
        <v>나 혼자만 일일 보상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T2567" t="str">
        <f t="shared" si="401"/>
        <v>9791159286889</v>
      </c>
      <c r="AV2567" t="str">
        <f t="shared" si="402"/>
        <v>판타지 웹소설 &gt; 현대 판타지</v>
      </c>
    </row>
    <row r="2568" spans="1:48" x14ac:dyDescent="0.4">
      <c r="A2568">
        <v>2313002926</v>
      </c>
      <c r="B2568">
        <v>2313002970</v>
      </c>
      <c r="C2568" t="str">
        <f>T("나 혼자만 일일 보상 46화")</f>
        <v>나 혼자만 일일 보상 46화</v>
      </c>
      <c r="D2568" t="str">
        <f>T("46")</f>
        <v>46</v>
      </c>
      <c r="E2568" t="str">
        <f t="shared" si="398"/>
        <v>이동열</v>
      </c>
      <c r="H2568" t="str">
        <f t="shared" si="399"/>
        <v>스토리위즈</v>
      </c>
      <c r="I2568" t="str">
        <f t="shared" si="400"/>
        <v>나 혼자만 일일 보상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T2568" t="str">
        <f t="shared" si="401"/>
        <v>9791159286889</v>
      </c>
      <c r="AV2568" t="str">
        <f t="shared" si="402"/>
        <v>판타지 웹소설 &gt; 현대 판타지</v>
      </c>
    </row>
    <row r="2569" spans="1:48" x14ac:dyDescent="0.4">
      <c r="A2569">
        <v>2313002926</v>
      </c>
      <c r="B2569">
        <v>2313002971</v>
      </c>
      <c r="C2569" t="str">
        <f>T("나 혼자만 일일 보상 47화")</f>
        <v>나 혼자만 일일 보상 47화</v>
      </c>
      <c r="D2569" t="str">
        <f>T("47")</f>
        <v>47</v>
      </c>
      <c r="E2569" t="str">
        <f t="shared" si="398"/>
        <v>이동열</v>
      </c>
      <c r="H2569" t="str">
        <f t="shared" si="399"/>
        <v>스토리위즈</v>
      </c>
      <c r="I2569" t="str">
        <f t="shared" si="400"/>
        <v>나 혼자만 일일 보상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T2569" t="str">
        <f t="shared" si="401"/>
        <v>9791159286889</v>
      </c>
      <c r="AV2569" t="str">
        <f t="shared" si="402"/>
        <v>판타지 웹소설 &gt; 현대 판타지</v>
      </c>
    </row>
    <row r="2570" spans="1:48" x14ac:dyDescent="0.4">
      <c r="A2570">
        <v>2313002926</v>
      </c>
      <c r="B2570">
        <v>2313002972</v>
      </c>
      <c r="C2570" t="str">
        <f>T("나 혼자만 일일 보상 48화")</f>
        <v>나 혼자만 일일 보상 48화</v>
      </c>
      <c r="D2570" t="str">
        <f>T("48")</f>
        <v>48</v>
      </c>
      <c r="E2570" t="str">
        <f t="shared" si="398"/>
        <v>이동열</v>
      </c>
      <c r="H2570" t="str">
        <f t="shared" si="399"/>
        <v>스토리위즈</v>
      </c>
      <c r="I2570" t="str">
        <f t="shared" si="400"/>
        <v>나 혼자만 일일 보상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T2570" t="str">
        <f t="shared" si="401"/>
        <v>9791159286889</v>
      </c>
      <c r="AV2570" t="str">
        <f t="shared" si="402"/>
        <v>판타지 웹소설 &gt; 현대 판타지</v>
      </c>
    </row>
    <row r="2571" spans="1:48" x14ac:dyDescent="0.4">
      <c r="A2571">
        <v>2313002926</v>
      </c>
      <c r="B2571">
        <v>2313002973</v>
      </c>
      <c r="C2571" t="str">
        <f>T("나 혼자만 일일 보상 49화")</f>
        <v>나 혼자만 일일 보상 49화</v>
      </c>
      <c r="D2571" t="str">
        <f>T("49")</f>
        <v>49</v>
      </c>
      <c r="E2571" t="str">
        <f t="shared" si="398"/>
        <v>이동열</v>
      </c>
      <c r="H2571" t="str">
        <f t="shared" si="399"/>
        <v>스토리위즈</v>
      </c>
      <c r="I2571" t="str">
        <f t="shared" si="400"/>
        <v>나 혼자만 일일 보상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70</v>
      </c>
      <c r="AT2571" t="str">
        <f t="shared" si="401"/>
        <v>9791159286889</v>
      </c>
      <c r="AV2571" t="str">
        <f t="shared" si="402"/>
        <v>판타지 웹소설 &gt; 현대 판타지</v>
      </c>
    </row>
    <row r="2572" spans="1:48" x14ac:dyDescent="0.4">
      <c r="A2572">
        <v>2313002926</v>
      </c>
      <c r="B2572">
        <v>2313002974</v>
      </c>
      <c r="C2572" t="str">
        <f>T("나 혼자만 일일 보상 50화")</f>
        <v>나 혼자만 일일 보상 50화</v>
      </c>
      <c r="D2572" t="str">
        <f>T("50")</f>
        <v>50</v>
      </c>
      <c r="E2572" t="str">
        <f t="shared" si="398"/>
        <v>이동열</v>
      </c>
      <c r="H2572" t="str">
        <f t="shared" si="399"/>
        <v>스토리위즈</v>
      </c>
      <c r="I2572" t="str">
        <f t="shared" si="400"/>
        <v>나 혼자만 일일 보상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T2572" t="str">
        <f t="shared" si="401"/>
        <v>9791159286889</v>
      </c>
      <c r="AV2572" t="str">
        <f t="shared" si="402"/>
        <v>판타지 웹소설 &gt; 현대 판타지</v>
      </c>
    </row>
    <row r="2573" spans="1:48" x14ac:dyDescent="0.4">
      <c r="A2573">
        <v>2313002926</v>
      </c>
      <c r="B2573">
        <v>2313003085</v>
      </c>
      <c r="C2573" t="str">
        <f>T("나 혼자만 일일 보상 34화")</f>
        <v>나 혼자만 일일 보상 34화</v>
      </c>
      <c r="D2573" t="str">
        <f>T("34")</f>
        <v>34</v>
      </c>
      <c r="E2573" t="str">
        <f t="shared" si="398"/>
        <v>이동열</v>
      </c>
      <c r="H2573" t="str">
        <f t="shared" si="399"/>
        <v>스토리위즈</v>
      </c>
      <c r="I2573" t="str">
        <f t="shared" si="400"/>
        <v>나 혼자만 일일 보상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T2573" t="str">
        <f t="shared" si="401"/>
        <v>9791159286889</v>
      </c>
      <c r="AV2573" t="str">
        <f t="shared" si="402"/>
        <v>판타지 웹소설 &gt; 현대 판타지</v>
      </c>
    </row>
    <row r="2574" spans="1:48" x14ac:dyDescent="0.4">
      <c r="A2574">
        <v>2313003101</v>
      </c>
      <c r="B2574">
        <v>2313003197</v>
      </c>
      <c r="C2574" t="str">
        <f>T("로드 오브 머니 97화")</f>
        <v>로드 오브 머니 97화</v>
      </c>
      <c r="D2574" t="str">
        <f>T("97")</f>
        <v>97</v>
      </c>
      <c r="E2574" t="str">
        <f t="shared" ref="E2574:E2637" si="403">T("무장")</f>
        <v>무장</v>
      </c>
      <c r="H2574" t="str">
        <f t="shared" si="399"/>
        <v>스토리위즈</v>
      </c>
      <c r="I2574" t="str">
        <f t="shared" ref="I2574:I2637" si="404">T("로드 오브 머니")</f>
        <v>로드 오브 머니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T2574" t="str">
        <f t="shared" ref="AT2574:AT2637" si="405">T("9791188630066")</f>
        <v>9791188630066</v>
      </c>
      <c r="AV2574" t="str">
        <f t="shared" si="402"/>
        <v>판타지 웹소설 &gt; 현대 판타지</v>
      </c>
    </row>
    <row r="2575" spans="1:48" x14ac:dyDescent="0.4">
      <c r="A2575">
        <v>2313003101</v>
      </c>
      <c r="B2575">
        <v>2313003198</v>
      </c>
      <c r="C2575" t="str">
        <f>T("로드 오브 머니 98화")</f>
        <v>로드 오브 머니 98화</v>
      </c>
      <c r="D2575" t="str">
        <f>T("98")</f>
        <v>98</v>
      </c>
      <c r="E2575" t="str">
        <f t="shared" si="403"/>
        <v>무장</v>
      </c>
      <c r="H2575" t="str">
        <f t="shared" si="399"/>
        <v>스토리위즈</v>
      </c>
      <c r="I2575" t="str">
        <f t="shared" si="404"/>
        <v>로드 오브 머니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70</v>
      </c>
      <c r="AT2575" t="str">
        <f t="shared" si="405"/>
        <v>9791188630066</v>
      </c>
      <c r="AV2575" t="str">
        <f t="shared" si="402"/>
        <v>판타지 웹소설 &gt; 현대 판타지</v>
      </c>
    </row>
    <row r="2576" spans="1:48" x14ac:dyDescent="0.4">
      <c r="A2576">
        <v>2313003101</v>
      </c>
      <c r="B2576">
        <v>2313003199</v>
      </c>
      <c r="C2576" t="str">
        <f>T("로드 오브 머니 99화")</f>
        <v>로드 오브 머니 99화</v>
      </c>
      <c r="D2576" t="str">
        <f>T("99")</f>
        <v>99</v>
      </c>
      <c r="E2576" t="str">
        <f t="shared" si="403"/>
        <v>무장</v>
      </c>
      <c r="H2576" t="str">
        <f t="shared" si="399"/>
        <v>스토리위즈</v>
      </c>
      <c r="I2576" t="str">
        <f t="shared" si="404"/>
        <v>로드 오브 머니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70</v>
      </c>
      <c r="AT2576" t="str">
        <f t="shared" si="405"/>
        <v>9791188630066</v>
      </c>
      <c r="AV2576" t="str">
        <f t="shared" si="402"/>
        <v>판타지 웹소설 &gt; 현대 판타지</v>
      </c>
    </row>
    <row r="2577" spans="1:48" x14ac:dyDescent="0.4">
      <c r="A2577">
        <v>2313003101</v>
      </c>
      <c r="B2577">
        <v>2313003200</v>
      </c>
      <c r="C2577" t="str">
        <f>T("로드 오브 머니 100화")</f>
        <v>로드 오브 머니 100화</v>
      </c>
      <c r="D2577" t="str">
        <f>T("100")</f>
        <v>100</v>
      </c>
      <c r="E2577" t="str">
        <f t="shared" si="403"/>
        <v>무장</v>
      </c>
      <c r="H2577" t="str">
        <f t="shared" si="399"/>
        <v>스토리위즈</v>
      </c>
      <c r="I2577" t="str">
        <f t="shared" si="404"/>
        <v>로드 오브 머니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70</v>
      </c>
      <c r="AT2577" t="str">
        <f t="shared" si="405"/>
        <v>9791188630066</v>
      </c>
      <c r="AV2577" t="str">
        <f t="shared" si="402"/>
        <v>판타지 웹소설 &gt; 현대 판타지</v>
      </c>
    </row>
    <row r="2578" spans="1:48" x14ac:dyDescent="0.4">
      <c r="A2578">
        <v>2313003101</v>
      </c>
      <c r="B2578">
        <v>2313003201</v>
      </c>
      <c r="C2578" t="str">
        <f>T("로드 오브 머니 101화")</f>
        <v>로드 오브 머니 101화</v>
      </c>
      <c r="D2578" t="str">
        <f>T("101")</f>
        <v>101</v>
      </c>
      <c r="E2578" t="str">
        <f t="shared" si="403"/>
        <v>무장</v>
      </c>
      <c r="H2578" t="str">
        <f t="shared" si="399"/>
        <v>스토리위즈</v>
      </c>
      <c r="I2578" t="str">
        <f t="shared" si="404"/>
        <v>로드 오브 머니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70</v>
      </c>
      <c r="AT2578" t="str">
        <f t="shared" si="405"/>
        <v>9791188630066</v>
      </c>
      <c r="AV2578" t="str">
        <f t="shared" si="402"/>
        <v>판타지 웹소설 &gt; 현대 판타지</v>
      </c>
    </row>
    <row r="2579" spans="1:48" x14ac:dyDescent="0.4">
      <c r="A2579">
        <v>2313003101</v>
      </c>
      <c r="B2579">
        <v>2313003202</v>
      </c>
      <c r="C2579" t="str">
        <f>T("로드 오브 머니 102화")</f>
        <v>로드 오브 머니 102화</v>
      </c>
      <c r="D2579" t="str">
        <f>T("102")</f>
        <v>102</v>
      </c>
      <c r="E2579" t="str">
        <f t="shared" si="403"/>
        <v>무장</v>
      </c>
      <c r="H2579" t="str">
        <f t="shared" si="399"/>
        <v>스토리위즈</v>
      </c>
      <c r="I2579" t="str">
        <f t="shared" si="404"/>
        <v>로드 오브 머니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70</v>
      </c>
      <c r="AT2579" t="str">
        <f t="shared" si="405"/>
        <v>9791188630066</v>
      </c>
      <c r="AV2579" t="str">
        <f t="shared" si="402"/>
        <v>판타지 웹소설 &gt; 현대 판타지</v>
      </c>
    </row>
    <row r="2580" spans="1:48" x14ac:dyDescent="0.4">
      <c r="A2580">
        <v>2313003101</v>
      </c>
      <c r="B2580">
        <v>2313003203</v>
      </c>
      <c r="C2580" t="str">
        <f>T("로드 오브 머니 103화")</f>
        <v>로드 오브 머니 103화</v>
      </c>
      <c r="D2580" t="str">
        <f>T("103")</f>
        <v>103</v>
      </c>
      <c r="E2580" t="str">
        <f t="shared" si="403"/>
        <v>무장</v>
      </c>
      <c r="H2580" t="str">
        <f t="shared" si="399"/>
        <v>스토리위즈</v>
      </c>
      <c r="I2580" t="str">
        <f t="shared" si="404"/>
        <v>로드 오브 머니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T2580" t="str">
        <f t="shared" si="405"/>
        <v>9791188630066</v>
      </c>
      <c r="AV2580" t="str">
        <f t="shared" si="402"/>
        <v>판타지 웹소설 &gt; 현대 판타지</v>
      </c>
    </row>
    <row r="2581" spans="1:48" x14ac:dyDescent="0.4">
      <c r="A2581">
        <v>2313003101</v>
      </c>
      <c r="B2581">
        <v>2313003204</v>
      </c>
      <c r="C2581" t="str">
        <f>T("로드 오브 머니 104화")</f>
        <v>로드 오브 머니 104화</v>
      </c>
      <c r="D2581" t="str">
        <f>T("104")</f>
        <v>104</v>
      </c>
      <c r="E2581" t="str">
        <f t="shared" si="403"/>
        <v>무장</v>
      </c>
      <c r="H2581" t="str">
        <f t="shared" si="399"/>
        <v>스토리위즈</v>
      </c>
      <c r="I2581" t="str">
        <f t="shared" si="404"/>
        <v>로드 오브 머니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70</v>
      </c>
      <c r="AT2581" t="str">
        <f t="shared" si="405"/>
        <v>9791188630066</v>
      </c>
      <c r="AV2581" t="str">
        <f t="shared" si="402"/>
        <v>판타지 웹소설 &gt; 현대 판타지</v>
      </c>
    </row>
    <row r="2582" spans="1:48" x14ac:dyDescent="0.4">
      <c r="A2582">
        <v>2313003101</v>
      </c>
      <c r="B2582">
        <v>2313003205</v>
      </c>
      <c r="C2582" t="str">
        <f>T("로드 오브 머니 105화")</f>
        <v>로드 오브 머니 105화</v>
      </c>
      <c r="D2582" t="str">
        <f>T("105")</f>
        <v>105</v>
      </c>
      <c r="E2582" t="str">
        <f t="shared" si="403"/>
        <v>무장</v>
      </c>
      <c r="H2582" t="str">
        <f t="shared" si="399"/>
        <v>스토리위즈</v>
      </c>
      <c r="I2582" t="str">
        <f t="shared" si="404"/>
        <v>로드 오브 머니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70</v>
      </c>
      <c r="AT2582" t="str">
        <f t="shared" si="405"/>
        <v>9791188630066</v>
      </c>
      <c r="AV2582" t="str">
        <f t="shared" si="402"/>
        <v>판타지 웹소설 &gt; 현대 판타지</v>
      </c>
    </row>
    <row r="2583" spans="1:48" x14ac:dyDescent="0.4">
      <c r="A2583">
        <v>2313003101</v>
      </c>
      <c r="B2583">
        <v>2313003278</v>
      </c>
      <c r="C2583" t="str">
        <f>T("로드 오브 머니 178화")</f>
        <v>로드 오브 머니 178화</v>
      </c>
      <c r="D2583" t="str">
        <f>T("178")</f>
        <v>178</v>
      </c>
      <c r="E2583" t="str">
        <f t="shared" si="403"/>
        <v>무장</v>
      </c>
      <c r="H2583" t="str">
        <f t="shared" si="399"/>
        <v>스토리위즈</v>
      </c>
      <c r="I2583" t="str">
        <f t="shared" si="404"/>
        <v>로드 오브 머니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70</v>
      </c>
      <c r="AT2583" t="str">
        <f t="shared" si="405"/>
        <v>9791188630066</v>
      </c>
      <c r="AV2583" t="str">
        <f t="shared" si="402"/>
        <v>판타지 웹소설 &gt; 현대 판타지</v>
      </c>
    </row>
    <row r="2584" spans="1:48" x14ac:dyDescent="0.4">
      <c r="A2584">
        <v>2313003101</v>
      </c>
      <c r="B2584">
        <v>2313003279</v>
      </c>
      <c r="C2584" t="str">
        <f>T("로드 오브 머니 179화")</f>
        <v>로드 오브 머니 179화</v>
      </c>
      <c r="D2584" t="str">
        <f>T("179")</f>
        <v>179</v>
      </c>
      <c r="E2584" t="str">
        <f t="shared" si="403"/>
        <v>무장</v>
      </c>
      <c r="H2584" t="str">
        <f t="shared" si="399"/>
        <v>스토리위즈</v>
      </c>
      <c r="I2584" t="str">
        <f t="shared" si="404"/>
        <v>로드 오브 머니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70</v>
      </c>
      <c r="AT2584" t="str">
        <f t="shared" si="405"/>
        <v>9791188630066</v>
      </c>
      <c r="AV2584" t="str">
        <f t="shared" si="402"/>
        <v>판타지 웹소설 &gt; 현대 판타지</v>
      </c>
    </row>
    <row r="2585" spans="1:48" x14ac:dyDescent="0.4">
      <c r="A2585">
        <v>2313003101</v>
      </c>
      <c r="B2585">
        <v>2313003280</v>
      </c>
      <c r="C2585" t="str">
        <f>T("로드 오브 머니 180화")</f>
        <v>로드 오브 머니 180화</v>
      </c>
      <c r="D2585" t="str">
        <f>T("180")</f>
        <v>180</v>
      </c>
      <c r="E2585" t="str">
        <f t="shared" si="403"/>
        <v>무장</v>
      </c>
      <c r="H2585" t="str">
        <f t="shared" si="399"/>
        <v>스토리위즈</v>
      </c>
      <c r="I2585" t="str">
        <f t="shared" si="404"/>
        <v>로드 오브 머니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70</v>
      </c>
      <c r="AT2585" t="str">
        <f t="shared" si="405"/>
        <v>9791188630066</v>
      </c>
      <c r="AV2585" t="str">
        <f t="shared" si="402"/>
        <v>판타지 웹소설 &gt; 현대 판타지</v>
      </c>
    </row>
    <row r="2586" spans="1:48" x14ac:dyDescent="0.4">
      <c r="A2586">
        <v>2313003101</v>
      </c>
      <c r="B2586">
        <v>2313003281</v>
      </c>
      <c r="C2586" t="str">
        <f>T("로드 오브 머니 181화")</f>
        <v>로드 오브 머니 181화</v>
      </c>
      <c r="D2586" t="str">
        <f>T("181")</f>
        <v>181</v>
      </c>
      <c r="E2586" t="str">
        <f t="shared" si="403"/>
        <v>무장</v>
      </c>
      <c r="H2586" t="str">
        <f t="shared" si="399"/>
        <v>스토리위즈</v>
      </c>
      <c r="I2586" t="str">
        <f t="shared" si="404"/>
        <v>로드 오브 머니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70</v>
      </c>
      <c r="AT2586" t="str">
        <f t="shared" si="405"/>
        <v>9791188630066</v>
      </c>
      <c r="AV2586" t="str">
        <f t="shared" si="402"/>
        <v>판타지 웹소설 &gt; 현대 판타지</v>
      </c>
    </row>
    <row r="2587" spans="1:48" x14ac:dyDescent="0.4">
      <c r="A2587">
        <v>2313003101</v>
      </c>
      <c r="B2587">
        <v>2313003282</v>
      </c>
      <c r="C2587" t="str">
        <f>T("로드 오브 머니 182화")</f>
        <v>로드 오브 머니 182화</v>
      </c>
      <c r="D2587" t="str">
        <f>T("182")</f>
        <v>182</v>
      </c>
      <c r="E2587" t="str">
        <f t="shared" si="403"/>
        <v>무장</v>
      </c>
      <c r="H2587" t="str">
        <f t="shared" si="399"/>
        <v>스토리위즈</v>
      </c>
      <c r="I2587" t="str">
        <f t="shared" si="404"/>
        <v>로드 오브 머니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70</v>
      </c>
      <c r="AT2587" t="str">
        <f t="shared" si="405"/>
        <v>9791188630066</v>
      </c>
      <c r="AV2587" t="str">
        <f t="shared" si="402"/>
        <v>판타지 웹소설 &gt; 현대 판타지</v>
      </c>
    </row>
    <row r="2588" spans="1:48" x14ac:dyDescent="0.4">
      <c r="A2588">
        <v>2313003101</v>
      </c>
      <c r="B2588">
        <v>2313003283</v>
      </c>
      <c r="C2588" t="str">
        <f>T("로드 오브 머니 183화")</f>
        <v>로드 오브 머니 183화</v>
      </c>
      <c r="D2588" t="str">
        <f>T("183")</f>
        <v>183</v>
      </c>
      <c r="E2588" t="str">
        <f t="shared" si="403"/>
        <v>무장</v>
      </c>
      <c r="H2588" t="str">
        <f t="shared" si="399"/>
        <v>스토리위즈</v>
      </c>
      <c r="I2588" t="str">
        <f t="shared" si="404"/>
        <v>로드 오브 머니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70</v>
      </c>
      <c r="AT2588" t="str">
        <f t="shared" si="405"/>
        <v>9791188630066</v>
      </c>
      <c r="AV2588" t="str">
        <f t="shared" si="402"/>
        <v>판타지 웹소설 &gt; 현대 판타지</v>
      </c>
    </row>
    <row r="2589" spans="1:48" x14ac:dyDescent="0.4">
      <c r="A2589">
        <v>2313003101</v>
      </c>
      <c r="B2589">
        <v>2313003284</v>
      </c>
      <c r="C2589" t="str">
        <f>T("로드 오브 머니 184화")</f>
        <v>로드 오브 머니 184화</v>
      </c>
      <c r="D2589" t="str">
        <f>T("184")</f>
        <v>184</v>
      </c>
      <c r="E2589" t="str">
        <f t="shared" si="403"/>
        <v>무장</v>
      </c>
      <c r="H2589" t="str">
        <f t="shared" si="399"/>
        <v>스토리위즈</v>
      </c>
      <c r="I2589" t="str">
        <f t="shared" si="404"/>
        <v>로드 오브 머니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70</v>
      </c>
      <c r="AT2589" t="str">
        <f t="shared" si="405"/>
        <v>9791188630066</v>
      </c>
      <c r="AV2589" t="str">
        <f t="shared" si="402"/>
        <v>판타지 웹소설 &gt; 현대 판타지</v>
      </c>
    </row>
    <row r="2590" spans="1:48" x14ac:dyDescent="0.4">
      <c r="A2590">
        <v>2313003101</v>
      </c>
      <c r="B2590">
        <v>2313003285</v>
      </c>
      <c r="C2590" t="str">
        <f>T("로드 오브 머니 185화")</f>
        <v>로드 오브 머니 185화</v>
      </c>
      <c r="D2590" t="str">
        <f>T("185")</f>
        <v>185</v>
      </c>
      <c r="E2590" t="str">
        <f t="shared" si="403"/>
        <v>무장</v>
      </c>
      <c r="H2590" t="str">
        <f t="shared" si="399"/>
        <v>스토리위즈</v>
      </c>
      <c r="I2590" t="str">
        <f t="shared" si="404"/>
        <v>로드 오브 머니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70</v>
      </c>
      <c r="AT2590" t="str">
        <f t="shared" si="405"/>
        <v>9791188630066</v>
      </c>
      <c r="AV2590" t="str">
        <f t="shared" si="402"/>
        <v>판타지 웹소설 &gt; 현대 판타지</v>
      </c>
    </row>
    <row r="2591" spans="1:48" x14ac:dyDescent="0.4">
      <c r="A2591">
        <v>2313003101</v>
      </c>
      <c r="B2591">
        <v>2313003286</v>
      </c>
      <c r="C2591" t="str">
        <f>T("로드 오브 머니 186화")</f>
        <v>로드 오브 머니 186화</v>
      </c>
      <c r="D2591" t="str">
        <f>T("186")</f>
        <v>186</v>
      </c>
      <c r="E2591" t="str">
        <f t="shared" si="403"/>
        <v>무장</v>
      </c>
      <c r="H2591" t="str">
        <f t="shared" si="399"/>
        <v>스토리위즈</v>
      </c>
      <c r="I2591" t="str">
        <f t="shared" si="404"/>
        <v>로드 오브 머니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70</v>
      </c>
      <c r="AT2591" t="str">
        <f t="shared" si="405"/>
        <v>9791188630066</v>
      </c>
      <c r="AV2591" t="str">
        <f t="shared" si="402"/>
        <v>판타지 웹소설 &gt; 현대 판타지</v>
      </c>
    </row>
    <row r="2592" spans="1:48" x14ac:dyDescent="0.4">
      <c r="A2592">
        <v>2313003101</v>
      </c>
      <c r="B2592">
        <v>2313003287</v>
      </c>
      <c r="C2592" t="str">
        <f>T("로드 오브 머니 187화")</f>
        <v>로드 오브 머니 187화</v>
      </c>
      <c r="D2592" t="str">
        <f>T("187")</f>
        <v>187</v>
      </c>
      <c r="E2592" t="str">
        <f t="shared" si="403"/>
        <v>무장</v>
      </c>
      <c r="H2592" t="str">
        <f t="shared" si="399"/>
        <v>스토리위즈</v>
      </c>
      <c r="I2592" t="str">
        <f t="shared" si="404"/>
        <v>로드 오브 머니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70</v>
      </c>
      <c r="AT2592" t="str">
        <f t="shared" si="405"/>
        <v>9791188630066</v>
      </c>
      <c r="AV2592" t="str">
        <f t="shared" si="402"/>
        <v>판타지 웹소설 &gt; 현대 판타지</v>
      </c>
    </row>
    <row r="2593" spans="1:48" x14ac:dyDescent="0.4">
      <c r="A2593">
        <v>2313003101</v>
      </c>
      <c r="B2593">
        <v>2313003288</v>
      </c>
      <c r="C2593" t="str">
        <f>T("로드 오브 머니 188화")</f>
        <v>로드 오브 머니 188화</v>
      </c>
      <c r="D2593" t="str">
        <f>T("188")</f>
        <v>188</v>
      </c>
      <c r="E2593" t="str">
        <f t="shared" si="403"/>
        <v>무장</v>
      </c>
      <c r="H2593" t="str">
        <f t="shared" si="399"/>
        <v>스토리위즈</v>
      </c>
      <c r="I2593" t="str">
        <f t="shared" si="404"/>
        <v>로드 오브 머니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70</v>
      </c>
      <c r="AT2593" t="str">
        <f t="shared" si="405"/>
        <v>9791188630066</v>
      </c>
      <c r="AV2593" t="str">
        <f t="shared" si="402"/>
        <v>판타지 웹소설 &gt; 현대 판타지</v>
      </c>
    </row>
    <row r="2594" spans="1:48" x14ac:dyDescent="0.4">
      <c r="A2594">
        <v>2313003101</v>
      </c>
      <c r="B2594">
        <v>2313003289</v>
      </c>
      <c r="C2594" t="str">
        <f>T("로드 오브 머니 189화")</f>
        <v>로드 오브 머니 189화</v>
      </c>
      <c r="D2594" t="str">
        <f>T("189")</f>
        <v>189</v>
      </c>
      <c r="E2594" t="str">
        <f t="shared" si="403"/>
        <v>무장</v>
      </c>
      <c r="H2594" t="str">
        <f t="shared" si="399"/>
        <v>스토리위즈</v>
      </c>
      <c r="I2594" t="str">
        <f t="shared" si="404"/>
        <v>로드 오브 머니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70</v>
      </c>
      <c r="AT2594" t="str">
        <f t="shared" si="405"/>
        <v>9791188630066</v>
      </c>
      <c r="AV2594" t="str">
        <f t="shared" si="402"/>
        <v>판타지 웹소설 &gt; 현대 판타지</v>
      </c>
    </row>
    <row r="2595" spans="1:48" x14ac:dyDescent="0.4">
      <c r="A2595">
        <v>2313003101</v>
      </c>
      <c r="B2595">
        <v>2313003290</v>
      </c>
      <c r="C2595" t="str">
        <f>T("로드 오브 머니 190화")</f>
        <v>로드 오브 머니 190화</v>
      </c>
      <c r="D2595" t="str">
        <f>T("190")</f>
        <v>190</v>
      </c>
      <c r="E2595" t="str">
        <f t="shared" si="403"/>
        <v>무장</v>
      </c>
      <c r="H2595" t="str">
        <f t="shared" si="399"/>
        <v>스토리위즈</v>
      </c>
      <c r="I2595" t="str">
        <f t="shared" si="404"/>
        <v>로드 오브 머니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70</v>
      </c>
      <c r="AT2595" t="str">
        <f t="shared" si="405"/>
        <v>9791188630066</v>
      </c>
      <c r="AV2595" t="str">
        <f t="shared" si="402"/>
        <v>판타지 웹소설 &gt; 현대 판타지</v>
      </c>
    </row>
    <row r="2596" spans="1:48" x14ac:dyDescent="0.4">
      <c r="A2596">
        <v>2313003101</v>
      </c>
      <c r="B2596">
        <v>2313003291</v>
      </c>
      <c r="C2596" t="str">
        <f>T("로드 오브 머니 191화")</f>
        <v>로드 오브 머니 191화</v>
      </c>
      <c r="D2596" t="str">
        <f>T("191")</f>
        <v>191</v>
      </c>
      <c r="E2596" t="str">
        <f t="shared" si="403"/>
        <v>무장</v>
      </c>
      <c r="H2596" t="str">
        <f t="shared" si="399"/>
        <v>스토리위즈</v>
      </c>
      <c r="I2596" t="str">
        <f t="shared" si="404"/>
        <v>로드 오브 머니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70</v>
      </c>
      <c r="AT2596" t="str">
        <f t="shared" si="405"/>
        <v>9791188630066</v>
      </c>
      <c r="AV2596" t="str">
        <f t="shared" si="402"/>
        <v>판타지 웹소설 &gt; 현대 판타지</v>
      </c>
    </row>
    <row r="2597" spans="1:48" x14ac:dyDescent="0.4">
      <c r="A2597">
        <v>2313003101</v>
      </c>
      <c r="B2597">
        <v>2313003292</v>
      </c>
      <c r="C2597" t="str">
        <f>T("로드 오브 머니 192화")</f>
        <v>로드 오브 머니 192화</v>
      </c>
      <c r="D2597" t="str">
        <f>T("192")</f>
        <v>192</v>
      </c>
      <c r="E2597" t="str">
        <f t="shared" si="403"/>
        <v>무장</v>
      </c>
      <c r="H2597" t="str">
        <f t="shared" si="399"/>
        <v>스토리위즈</v>
      </c>
      <c r="I2597" t="str">
        <f t="shared" si="404"/>
        <v>로드 오브 머니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70</v>
      </c>
      <c r="AT2597" t="str">
        <f t="shared" si="405"/>
        <v>9791188630066</v>
      </c>
      <c r="AV2597" t="str">
        <f t="shared" si="402"/>
        <v>판타지 웹소설 &gt; 현대 판타지</v>
      </c>
    </row>
    <row r="2598" spans="1:48" x14ac:dyDescent="0.4">
      <c r="A2598">
        <v>2313003101</v>
      </c>
      <c r="B2598">
        <v>2313003293</v>
      </c>
      <c r="C2598" t="str">
        <f>T("로드 오브 머니 193화")</f>
        <v>로드 오브 머니 193화</v>
      </c>
      <c r="D2598" t="str">
        <f>T("193")</f>
        <v>193</v>
      </c>
      <c r="E2598" t="str">
        <f t="shared" si="403"/>
        <v>무장</v>
      </c>
      <c r="H2598" t="str">
        <f t="shared" si="399"/>
        <v>스토리위즈</v>
      </c>
      <c r="I2598" t="str">
        <f t="shared" si="404"/>
        <v>로드 오브 머니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70</v>
      </c>
      <c r="AT2598" t="str">
        <f t="shared" si="405"/>
        <v>9791188630066</v>
      </c>
      <c r="AV2598" t="str">
        <f t="shared" si="402"/>
        <v>판타지 웹소설 &gt; 현대 판타지</v>
      </c>
    </row>
    <row r="2599" spans="1:48" x14ac:dyDescent="0.4">
      <c r="A2599">
        <v>2313003101</v>
      </c>
      <c r="B2599">
        <v>2313003294</v>
      </c>
      <c r="C2599" t="str">
        <f>T("로드 오브 머니 194화")</f>
        <v>로드 오브 머니 194화</v>
      </c>
      <c r="D2599" t="str">
        <f>T("194")</f>
        <v>194</v>
      </c>
      <c r="E2599" t="str">
        <f t="shared" si="403"/>
        <v>무장</v>
      </c>
      <c r="H2599" t="str">
        <f t="shared" si="399"/>
        <v>스토리위즈</v>
      </c>
      <c r="I2599" t="str">
        <f t="shared" si="404"/>
        <v>로드 오브 머니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>
        <v>70</v>
      </c>
      <c r="AT2599" t="str">
        <f t="shared" si="405"/>
        <v>9791188630066</v>
      </c>
      <c r="AV2599" t="str">
        <f t="shared" si="402"/>
        <v>판타지 웹소설 &gt; 현대 판타지</v>
      </c>
    </row>
    <row r="2600" spans="1:48" x14ac:dyDescent="0.4">
      <c r="A2600">
        <v>2313003101</v>
      </c>
      <c r="B2600">
        <v>2313003295</v>
      </c>
      <c r="C2600" t="str">
        <f>T("로드 오브 머니 195화")</f>
        <v>로드 오브 머니 195화</v>
      </c>
      <c r="D2600" t="str">
        <f>T("195")</f>
        <v>195</v>
      </c>
      <c r="E2600" t="str">
        <f t="shared" si="403"/>
        <v>무장</v>
      </c>
      <c r="H2600" t="str">
        <f t="shared" si="399"/>
        <v>스토리위즈</v>
      </c>
      <c r="I2600" t="str">
        <f t="shared" si="404"/>
        <v>로드 오브 머니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>
        <v>70</v>
      </c>
      <c r="AT2600" t="str">
        <f t="shared" si="405"/>
        <v>9791188630066</v>
      </c>
      <c r="AV2600" t="str">
        <f t="shared" si="402"/>
        <v>판타지 웹소설 &gt; 현대 판타지</v>
      </c>
    </row>
    <row r="2601" spans="1:48" x14ac:dyDescent="0.4">
      <c r="A2601">
        <v>2313003101</v>
      </c>
      <c r="B2601">
        <v>2313003296</v>
      </c>
      <c r="C2601" t="str">
        <f>T("로드 오브 머니 196화")</f>
        <v>로드 오브 머니 196화</v>
      </c>
      <c r="D2601" t="str">
        <f>T("196")</f>
        <v>196</v>
      </c>
      <c r="E2601" t="str">
        <f t="shared" si="403"/>
        <v>무장</v>
      </c>
      <c r="H2601" t="str">
        <f t="shared" si="399"/>
        <v>스토리위즈</v>
      </c>
      <c r="I2601" t="str">
        <f t="shared" si="404"/>
        <v>로드 오브 머니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70</v>
      </c>
      <c r="AT2601" t="str">
        <f t="shared" si="405"/>
        <v>9791188630066</v>
      </c>
      <c r="AV2601" t="str">
        <f t="shared" si="402"/>
        <v>판타지 웹소설 &gt; 현대 판타지</v>
      </c>
    </row>
    <row r="2602" spans="1:48" x14ac:dyDescent="0.4">
      <c r="A2602">
        <v>2313003101</v>
      </c>
      <c r="B2602">
        <v>2313003297</v>
      </c>
      <c r="C2602" t="str">
        <f>T("로드 오브 머니 197화")</f>
        <v>로드 오브 머니 197화</v>
      </c>
      <c r="D2602" t="str">
        <f>T("197")</f>
        <v>197</v>
      </c>
      <c r="E2602" t="str">
        <f t="shared" si="403"/>
        <v>무장</v>
      </c>
      <c r="H2602" t="str">
        <f t="shared" si="399"/>
        <v>스토리위즈</v>
      </c>
      <c r="I2602" t="str">
        <f t="shared" si="404"/>
        <v>로드 오브 머니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70</v>
      </c>
      <c r="AT2602" t="str">
        <f t="shared" si="405"/>
        <v>9791188630066</v>
      </c>
      <c r="AV2602" t="str">
        <f t="shared" si="402"/>
        <v>판타지 웹소설 &gt; 현대 판타지</v>
      </c>
    </row>
    <row r="2603" spans="1:48" x14ac:dyDescent="0.4">
      <c r="A2603">
        <v>2313003101</v>
      </c>
      <c r="B2603">
        <v>2313003298</v>
      </c>
      <c r="C2603" t="str">
        <f>T("로드 오브 머니 198화")</f>
        <v>로드 오브 머니 198화</v>
      </c>
      <c r="D2603" t="str">
        <f>T("198")</f>
        <v>198</v>
      </c>
      <c r="E2603" t="str">
        <f t="shared" si="403"/>
        <v>무장</v>
      </c>
      <c r="H2603" t="str">
        <f t="shared" si="399"/>
        <v>스토리위즈</v>
      </c>
      <c r="I2603" t="str">
        <f t="shared" si="404"/>
        <v>로드 오브 머니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70</v>
      </c>
      <c r="AT2603" t="str">
        <f t="shared" si="405"/>
        <v>9791188630066</v>
      </c>
      <c r="AV2603" t="str">
        <f t="shared" si="402"/>
        <v>판타지 웹소설 &gt; 현대 판타지</v>
      </c>
    </row>
    <row r="2604" spans="1:48" x14ac:dyDescent="0.4">
      <c r="A2604">
        <v>2313003101</v>
      </c>
      <c r="B2604">
        <v>2313003299</v>
      </c>
      <c r="C2604" t="str">
        <f>T("로드 오브 머니 199화")</f>
        <v>로드 오브 머니 199화</v>
      </c>
      <c r="D2604" t="str">
        <f>T("199")</f>
        <v>199</v>
      </c>
      <c r="E2604" t="str">
        <f t="shared" si="403"/>
        <v>무장</v>
      </c>
      <c r="H2604" t="str">
        <f t="shared" si="399"/>
        <v>스토리위즈</v>
      </c>
      <c r="I2604" t="str">
        <f t="shared" si="404"/>
        <v>로드 오브 머니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70</v>
      </c>
      <c r="AT2604" t="str">
        <f t="shared" si="405"/>
        <v>9791188630066</v>
      </c>
      <c r="AV2604" t="str">
        <f t="shared" si="402"/>
        <v>판타지 웹소설 &gt; 현대 판타지</v>
      </c>
    </row>
    <row r="2605" spans="1:48" x14ac:dyDescent="0.4">
      <c r="A2605">
        <v>2313003101</v>
      </c>
      <c r="B2605">
        <v>2313003300</v>
      </c>
      <c r="C2605" t="str">
        <f>T("로드 오브 머니 200화")</f>
        <v>로드 오브 머니 200화</v>
      </c>
      <c r="D2605" t="str">
        <f>T("200")</f>
        <v>200</v>
      </c>
      <c r="E2605" t="str">
        <f t="shared" si="403"/>
        <v>무장</v>
      </c>
      <c r="H2605" t="str">
        <f t="shared" si="399"/>
        <v>스토리위즈</v>
      </c>
      <c r="I2605" t="str">
        <f t="shared" si="404"/>
        <v>로드 오브 머니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70</v>
      </c>
      <c r="AT2605" t="str">
        <f t="shared" si="405"/>
        <v>9791188630066</v>
      </c>
      <c r="AV2605" t="str">
        <f t="shared" si="402"/>
        <v>판타지 웹소설 &gt; 현대 판타지</v>
      </c>
    </row>
    <row r="2606" spans="1:48" x14ac:dyDescent="0.4">
      <c r="A2606">
        <v>2313003101</v>
      </c>
      <c r="B2606">
        <v>2313003301</v>
      </c>
      <c r="C2606" t="str">
        <f>T("로드 오브 머니 201화")</f>
        <v>로드 오브 머니 201화</v>
      </c>
      <c r="D2606" t="str">
        <f>T("201")</f>
        <v>201</v>
      </c>
      <c r="E2606" t="str">
        <f t="shared" si="403"/>
        <v>무장</v>
      </c>
      <c r="H2606" t="str">
        <f t="shared" si="399"/>
        <v>스토리위즈</v>
      </c>
      <c r="I2606" t="str">
        <f t="shared" si="404"/>
        <v>로드 오브 머니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70</v>
      </c>
      <c r="AT2606" t="str">
        <f t="shared" si="405"/>
        <v>9791188630066</v>
      </c>
      <c r="AV2606" t="str">
        <f t="shared" si="402"/>
        <v>판타지 웹소설 &gt; 현대 판타지</v>
      </c>
    </row>
    <row r="2607" spans="1:48" x14ac:dyDescent="0.4">
      <c r="A2607">
        <v>2313003101</v>
      </c>
      <c r="B2607">
        <v>2313003302</v>
      </c>
      <c r="C2607" t="str">
        <f>T("로드 오브 머니 202화")</f>
        <v>로드 오브 머니 202화</v>
      </c>
      <c r="D2607" t="str">
        <f>T("202")</f>
        <v>202</v>
      </c>
      <c r="E2607" t="str">
        <f t="shared" si="403"/>
        <v>무장</v>
      </c>
      <c r="H2607" t="str">
        <f t="shared" si="399"/>
        <v>스토리위즈</v>
      </c>
      <c r="I2607" t="str">
        <f t="shared" si="404"/>
        <v>로드 오브 머니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70</v>
      </c>
      <c r="AT2607" t="str">
        <f t="shared" si="405"/>
        <v>9791188630066</v>
      </c>
      <c r="AV2607" t="str">
        <f t="shared" si="402"/>
        <v>판타지 웹소설 &gt; 현대 판타지</v>
      </c>
    </row>
    <row r="2608" spans="1:48" x14ac:dyDescent="0.4">
      <c r="A2608">
        <v>2313003101</v>
      </c>
      <c r="B2608">
        <v>2313003303</v>
      </c>
      <c r="C2608" t="str">
        <f>T("로드 오브 머니 203화")</f>
        <v>로드 오브 머니 203화</v>
      </c>
      <c r="D2608" t="str">
        <f>T("203")</f>
        <v>203</v>
      </c>
      <c r="E2608" t="str">
        <f t="shared" si="403"/>
        <v>무장</v>
      </c>
      <c r="H2608" t="str">
        <f t="shared" si="399"/>
        <v>스토리위즈</v>
      </c>
      <c r="I2608" t="str">
        <f t="shared" si="404"/>
        <v>로드 오브 머니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70</v>
      </c>
      <c r="AT2608" t="str">
        <f t="shared" si="405"/>
        <v>9791188630066</v>
      </c>
      <c r="AV2608" t="str">
        <f t="shared" si="402"/>
        <v>판타지 웹소설 &gt; 현대 판타지</v>
      </c>
    </row>
    <row r="2609" spans="1:48" x14ac:dyDescent="0.4">
      <c r="A2609">
        <v>2313003101</v>
      </c>
      <c r="B2609">
        <v>2313003304</v>
      </c>
      <c r="C2609" t="str">
        <f>T("로드 오브 머니 204화")</f>
        <v>로드 오브 머니 204화</v>
      </c>
      <c r="D2609" t="str">
        <f>T("204")</f>
        <v>204</v>
      </c>
      <c r="E2609" t="str">
        <f t="shared" si="403"/>
        <v>무장</v>
      </c>
      <c r="H2609" t="str">
        <f t="shared" si="399"/>
        <v>스토리위즈</v>
      </c>
      <c r="I2609" t="str">
        <f t="shared" si="404"/>
        <v>로드 오브 머니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70</v>
      </c>
      <c r="AT2609" t="str">
        <f t="shared" si="405"/>
        <v>9791188630066</v>
      </c>
      <c r="AV2609" t="str">
        <f t="shared" si="402"/>
        <v>판타지 웹소설 &gt; 현대 판타지</v>
      </c>
    </row>
    <row r="2610" spans="1:48" x14ac:dyDescent="0.4">
      <c r="A2610">
        <v>2313003101</v>
      </c>
      <c r="B2610">
        <v>2313003305</v>
      </c>
      <c r="C2610" t="str">
        <f>T("로드 오브 머니 205화")</f>
        <v>로드 오브 머니 205화</v>
      </c>
      <c r="D2610" t="str">
        <f>T("205")</f>
        <v>205</v>
      </c>
      <c r="E2610" t="str">
        <f t="shared" si="403"/>
        <v>무장</v>
      </c>
      <c r="H2610" t="str">
        <f t="shared" si="399"/>
        <v>스토리위즈</v>
      </c>
      <c r="I2610" t="str">
        <f t="shared" si="404"/>
        <v>로드 오브 머니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70</v>
      </c>
      <c r="AT2610" t="str">
        <f t="shared" si="405"/>
        <v>9791188630066</v>
      </c>
      <c r="AV2610" t="str">
        <f t="shared" si="402"/>
        <v>판타지 웹소설 &gt; 현대 판타지</v>
      </c>
    </row>
    <row r="2611" spans="1:48" x14ac:dyDescent="0.4">
      <c r="A2611">
        <v>2313003101</v>
      </c>
      <c r="B2611">
        <v>2313003306</v>
      </c>
      <c r="C2611" t="str">
        <f>T("로드 오브 머니 206화")</f>
        <v>로드 오브 머니 206화</v>
      </c>
      <c r="D2611" t="str">
        <f>T("206")</f>
        <v>206</v>
      </c>
      <c r="E2611" t="str">
        <f t="shared" si="403"/>
        <v>무장</v>
      </c>
      <c r="H2611" t="str">
        <f t="shared" si="399"/>
        <v>스토리위즈</v>
      </c>
      <c r="I2611" t="str">
        <f t="shared" si="404"/>
        <v>로드 오브 머니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70</v>
      </c>
      <c r="AT2611" t="str">
        <f t="shared" si="405"/>
        <v>9791188630066</v>
      </c>
      <c r="AV2611" t="str">
        <f t="shared" si="402"/>
        <v>판타지 웹소설 &gt; 현대 판타지</v>
      </c>
    </row>
    <row r="2612" spans="1:48" x14ac:dyDescent="0.4">
      <c r="A2612">
        <v>2313003101</v>
      </c>
      <c r="B2612">
        <v>2313003307</v>
      </c>
      <c r="C2612" t="str">
        <f>T("로드 오브 머니 207화")</f>
        <v>로드 오브 머니 207화</v>
      </c>
      <c r="D2612" t="str">
        <f>T("207")</f>
        <v>207</v>
      </c>
      <c r="E2612" t="str">
        <f t="shared" si="403"/>
        <v>무장</v>
      </c>
      <c r="H2612" t="str">
        <f t="shared" si="399"/>
        <v>스토리위즈</v>
      </c>
      <c r="I2612" t="str">
        <f t="shared" si="404"/>
        <v>로드 오브 머니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70</v>
      </c>
      <c r="AT2612" t="str">
        <f t="shared" si="405"/>
        <v>9791188630066</v>
      </c>
      <c r="AV2612" t="str">
        <f t="shared" si="402"/>
        <v>판타지 웹소설 &gt; 현대 판타지</v>
      </c>
    </row>
    <row r="2613" spans="1:48" x14ac:dyDescent="0.4">
      <c r="A2613">
        <v>2313003101</v>
      </c>
      <c r="B2613">
        <v>2313003308</v>
      </c>
      <c r="C2613" t="str">
        <f>T("로드 오브 머니 208화")</f>
        <v>로드 오브 머니 208화</v>
      </c>
      <c r="D2613" t="str">
        <f>T("208")</f>
        <v>208</v>
      </c>
      <c r="E2613" t="str">
        <f t="shared" si="403"/>
        <v>무장</v>
      </c>
      <c r="H2613" t="str">
        <f t="shared" si="399"/>
        <v>스토리위즈</v>
      </c>
      <c r="I2613" t="str">
        <f t="shared" si="404"/>
        <v>로드 오브 머니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70</v>
      </c>
      <c r="AT2613" t="str">
        <f t="shared" si="405"/>
        <v>9791188630066</v>
      </c>
      <c r="AV2613" t="str">
        <f t="shared" si="402"/>
        <v>판타지 웹소설 &gt; 현대 판타지</v>
      </c>
    </row>
    <row r="2614" spans="1:48" x14ac:dyDescent="0.4">
      <c r="A2614">
        <v>2313003101</v>
      </c>
      <c r="B2614">
        <v>2313003309</v>
      </c>
      <c r="C2614" t="str">
        <f>T("로드 오브 머니 209화")</f>
        <v>로드 오브 머니 209화</v>
      </c>
      <c r="D2614" t="str">
        <f>T("209")</f>
        <v>209</v>
      </c>
      <c r="E2614" t="str">
        <f t="shared" si="403"/>
        <v>무장</v>
      </c>
      <c r="H2614" t="str">
        <f t="shared" si="399"/>
        <v>스토리위즈</v>
      </c>
      <c r="I2614" t="str">
        <f t="shared" si="404"/>
        <v>로드 오브 머니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70</v>
      </c>
      <c r="AT2614" t="str">
        <f t="shared" si="405"/>
        <v>9791188630066</v>
      </c>
      <c r="AV2614" t="str">
        <f t="shared" si="402"/>
        <v>판타지 웹소설 &gt; 현대 판타지</v>
      </c>
    </row>
    <row r="2615" spans="1:48" x14ac:dyDescent="0.4">
      <c r="A2615">
        <v>2313003101</v>
      </c>
      <c r="B2615">
        <v>2313003310</v>
      </c>
      <c r="C2615" t="str">
        <f>T("로드 오브 머니 210화")</f>
        <v>로드 오브 머니 210화</v>
      </c>
      <c r="D2615" t="str">
        <f>T("210")</f>
        <v>210</v>
      </c>
      <c r="E2615" t="str">
        <f t="shared" si="403"/>
        <v>무장</v>
      </c>
      <c r="H2615" t="str">
        <f t="shared" si="399"/>
        <v>스토리위즈</v>
      </c>
      <c r="I2615" t="str">
        <f t="shared" si="404"/>
        <v>로드 오브 머니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70</v>
      </c>
      <c r="AT2615" t="str">
        <f t="shared" si="405"/>
        <v>9791188630066</v>
      </c>
      <c r="AV2615" t="str">
        <f t="shared" si="402"/>
        <v>판타지 웹소설 &gt; 현대 판타지</v>
      </c>
    </row>
    <row r="2616" spans="1:48" x14ac:dyDescent="0.4">
      <c r="A2616">
        <v>2313003101</v>
      </c>
      <c r="B2616">
        <v>2313003311</v>
      </c>
      <c r="C2616" t="str">
        <f>T("로드 오브 머니 211화")</f>
        <v>로드 오브 머니 211화</v>
      </c>
      <c r="D2616" t="str">
        <f>T("211")</f>
        <v>211</v>
      </c>
      <c r="E2616" t="str">
        <f t="shared" si="403"/>
        <v>무장</v>
      </c>
      <c r="H2616" t="str">
        <f t="shared" si="399"/>
        <v>스토리위즈</v>
      </c>
      <c r="I2616" t="str">
        <f t="shared" si="404"/>
        <v>로드 오브 머니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70</v>
      </c>
      <c r="AT2616" t="str">
        <f t="shared" si="405"/>
        <v>9791188630066</v>
      </c>
      <c r="AV2616" t="str">
        <f t="shared" si="402"/>
        <v>판타지 웹소설 &gt; 현대 판타지</v>
      </c>
    </row>
    <row r="2617" spans="1:48" x14ac:dyDescent="0.4">
      <c r="A2617">
        <v>2313003101</v>
      </c>
      <c r="B2617">
        <v>2313003312</v>
      </c>
      <c r="C2617" t="str">
        <f>T("로드 오브 머니 212화")</f>
        <v>로드 오브 머니 212화</v>
      </c>
      <c r="D2617" t="str">
        <f>T("212")</f>
        <v>212</v>
      </c>
      <c r="E2617" t="str">
        <f t="shared" si="403"/>
        <v>무장</v>
      </c>
      <c r="H2617" t="str">
        <f t="shared" ref="H2617:H2680" si="406">T("스토리위즈")</f>
        <v>스토리위즈</v>
      </c>
      <c r="I2617" t="str">
        <f t="shared" si="404"/>
        <v>로드 오브 머니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70</v>
      </c>
      <c r="AT2617" t="str">
        <f t="shared" si="405"/>
        <v>9791188630066</v>
      </c>
      <c r="AV2617" t="str">
        <f t="shared" ref="AV2617:AV2674" si="407">T("판타지 웹소설 &gt; 현대 판타지")</f>
        <v>판타지 웹소설 &gt; 현대 판타지</v>
      </c>
    </row>
    <row r="2618" spans="1:48" x14ac:dyDescent="0.4">
      <c r="A2618">
        <v>2313003101</v>
      </c>
      <c r="B2618">
        <v>2313003313</v>
      </c>
      <c r="C2618" t="str">
        <f>T("로드 오브 머니 213화")</f>
        <v>로드 오브 머니 213화</v>
      </c>
      <c r="D2618" t="str">
        <f>T("213")</f>
        <v>213</v>
      </c>
      <c r="E2618" t="str">
        <f t="shared" si="403"/>
        <v>무장</v>
      </c>
      <c r="H2618" t="str">
        <f t="shared" si="406"/>
        <v>스토리위즈</v>
      </c>
      <c r="I2618" t="str">
        <f t="shared" si="404"/>
        <v>로드 오브 머니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70</v>
      </c>
      <c r="AT2618" t="str">
        <f t="shared" si="405"/>
        <v>9791188630066</v>
      </c>
      <c r="AV2618" t="str">
        <f t="shared" si="407"/>
        <v>판타지 웹소설 &gt; 현대 판타지</v>
      </c>
    </row>
    <row r="2619" spans="1:48" x14ac:dyDescent="0.4">
      <c r="A2619">
        <v>2313003101</v>
      </c>
      <c r="B2619">
        <v>2313003314</v>
      </c>
      <c r="C2619" t="str">
        <f>T("로드 오브 머니 214화")</f>
        <v>로드 오브 머니 214화</v>
      </c>
      <c r="D2619" t="str">
        <f>T("214")</f>
        <v>214</v>
      </c>
      <c r="E2619" t="str">
        <f t="shared" si="403"/>
        <v>무장</v>
      </c>
      <c r="H2619" t="str">
        <f t="shared" si="406"/>
        <v>스토리위즈</v>
      </c>
      <c r="I2619" t="str">
        <f t="shared" si="404"/>
        <v>로드 오브 머니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>
        <v>70</v>
      </c>
      <c r="AT2619" t="str">
        <f t="shared" si="405"/>
        <v>9791188630066</v>
      </c>
      <c r="AV2619" t="str">
        <f t="shared" si="407"/>
        <v>판타지 웹소설 &gt; 현대 판타지</v>
      </c>
    </row>
    <row r="2620" spans="1:48" x14ac:dyDescent="0.4">
      <c r="A2620">
        <v>2313003101</v>
      </c>
      <c r="B2620">
        <v>2313003315</v>
      </c>
      <c r="C2620" t="str">
        <f>T("로드 오브 머니 215화")</f>
        <v>로드 오브 머니 215화</v>
      </c>
      <c r="D2620" t="str">
        <f>T("215")</f>
        <v>215</v>
      </c>
      <c r="E2620" t="str">
        <f t="shared" si="403"/>
        <v>무장</v>
      </c>
      <c r="H2620" t="str">
        <f t="shared" si="406"/>
        <v>스토리위즈</v>
      </c>
      <c r="I2620" t="str">
        <f t="shared" si="404"/>
        <v>로드 오브 머니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70</v>
      </c>
      <c r="AT2620" t="str">
        <f t="shared" si="405"/>
        <v>9791188630066</v>
      </c>
      <c r="AV2620" t="str">
        <f t="shared" si="407"/>
        <v>판타지 웹소설 &gt; 현대 판타지</v>
      </c>
    </row>
    <row r="2621" spans="1:48" x14ac:dyDescent="0.4">
      <c r="A2621">
        <v>2313003101</v>
      </c>
      <c r="B2621">
        <v>2313003316</v>
      </c>
      <c r="C2621" t="str">
        <f>T("로드 오브 머니 216화")</f>
        <v>로드 오브 머니 216화</v>
      </c>
      <c r="D2621" t="str">
        <f>T("216")</f>
        <v>216</v>
      </c>
      <c r="E2621" t="str">
        <f t="shared" si="403"/>
        <v>무장</v>
      </c>
      <c r="H2621" t="str">
        <f t="shared" si="406"/>
        <v>스토리위즈</v>
      </c>
      <c r="I2621" t="str">
        <f t="shared" si="404"/>
        <v>로드 오브 머니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70</v>
      </c>
      <c r="AT2621" t="str">
        <f t="shared" si="405"/>
        <v>9791188630066</v>
      </c>
      <c r="AV2621" t="str">
        <f t="shared" si="407"/>
        <v>판타지 웹소설 &gt; 현대 판타지</v>
      </c>
    </row>
    <row r="2622" spans="1:48" x14ac:dyDescent="0.4">
      <c r="A2622">
        <v>2313003101</v>
      </c>
      <c r="B2622">
        <v>2313003317</v>
      </c>
      <c r="C2622" t="str">
        <f>T("로드 오브 머니 217화")</f>
        <v>로드 오브 머니 217화</v>
      </c>
      <c r="D2622" t="str">
        <f>T("217")</f>
        <v>217</v>
      </c>
      <c r="E2622" t="str">
        <f t="shared" si="403"/>
        <v>무장</v>
      </c>
      <c r="H2622" t="str">
        <f t="shared" si="406"/>
        <v>스토리위즈</v>
      </c>
      <c r="I2622" t="str">
        <f t="shared" si="404"/>
        <v>로드 오브 머니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70</v>
      </c>
      <c r="AT2622" t="str">
        <f t="shared" si="405"/>
        <v>9791188630066</v>
      </c>
      <c r="AV2622" t="str">
        <f t="shared" si="407"/>
        <v>판타지 웹소설 &gt; 현대 판타지</v>
      </c>
    </row>
    <row r="2623" spans="1:48" x14ac:dyDescent="0.4">
      <c r="A2623">
        <v>2313003101</v>
      </c>
      <c r="B2623">
        <v>2313003318</v>
      </c>
      <c r="C2623" t="str">
        <f>T("로드 오브 머니 218화")</f>
        <v>로드 오브 머니 218화</v>
      </c>
      <c r="D2623" t="str">
        <f>T("218")</f>
        <v>218</v>
      </c>
      <c r="E2623" t="str">
        <f t="shared" si="403"/>
        <v>무장</v>
      </c>
      <c r="H2623" t="str">
        <f t="shared" si="406"/>
        <v>스토리위즈</v>
      </c>
      <c r="I2623" t="str">
        <f t="shared" si="404"/>
        <v>로드 오브 머니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70</v>
      </c>
      <c r="AT2623" t="str">
        <f t="shared" si="405"/>
        <v>9791188630066</v>
      </c>
      <c r="AV2623" t="str">
        <f t="shared" si="407"/>
        <v>판타지 웹소설 &gt; 현대 판타지</v>
      </c>
    </row>
    <row r="2624" spans="1:48" x14ac:dyDescent="0.4">
      <c r="A2624">
        <v>2313003101</v>
      </c>
      <c r="B2624">
        <v>2313003319</v>
      </c>
      <c r="C2624" t="str">
        <f>T("로드 오브 머니 219화")</f>
        <v>로드 오브 머니 219화</v>
      </c>
      <c r="D2624" t="str">
        <f>T("219")</f>
        <v>219</v>
      </c>
      <c r="E2624" t="str">
        <f t="shared" si="403"/>
        <v>무장</v>
      </c>
      <c r="H2624" t="str">
        <f t="shared" si="406"/>
        <v>스토리위즈</v>
      </c>
      <c r="I2624" t="str">
        <f t="shared" si="404"/>
        <v>로드 오브 머니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70</v>
      </c>
      <c r="AT2624" t="str">
        <f t="shared" si="405"/>
        <v>9791188630066</v>
      </c>
      <c r="AV2624" t="str">
        <f t="shared" si="407"/>
        <v>판타지 웹소설 &gt; 현대 판타지</v>
      </c>
    </row>
    <row r="2625" spans="1:48" x14ac:dyDescent="0.4">
      <c r="A2625">
        <v>2313003101</v>
      </c>
      <c r="B2625">
        <v>2313003320</v>
      </c>
      <c r="C2625" t="str">
        <f>T("로드 오브 머니 220화")</f>
        <v>로드 오브 머니 220화</v>
      </c>
      <c r="D2625" t="str">
        <f>T("220")</f>
        <v>220</v>
      </c>
      <c r="E2625" t="str">
        <f t="shared" si="403"/>
        <v>무장</v>
      </c>
      <c r="H2625" t="str">
        <f t="shared" si="406"/>
        <v>스토리위즈</v>
      </c>
      <c r="I2625" t="str">
        <f t="shared" si="404"/>
        <v>로드 오브 머니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70</v>
      </c>
      <c r="AT2625" t="str">
        <f t="shared" si="405"/>
        <v>9791188630066</v>
      </c>
      <c r="AV2625" t="str">
        <f t="shared" si="407"/>
        <v>판타지 웹소설 &gt; 현대 판타지</v>
      </c>
    </row>
    <row r="2626" spans="1:48" x14ac:dyDescent="0.4">
      <c r="A2626">
        <v>2313003101</v>
      </c>
      <c r="B2626">
        <v>2313003321</v>
      </c>
      <c r="C2626" t="str">
        <f>T("로드 오브 머니 221화")</f>
        <v>로드 오브 머니 221화</v>
      </c>
      <c r="D2626" t="str">
        <f>T("221")</f>
        <v>221</v>
      </c>
      <c r="E2626" t="str">
        <f t="shared" si="403"/>
        <v>무장</v>
      </c>
      <c r="H2626" t="str">
        <f t="shared" si="406"/>
        <v>스토리위즈</v>
      </c>
      <c r="I2626" t="str">
        <f t="shared" si="404"/>
        <v>로드 오브 머니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70</v>
      </c>
      <c r="AT2626" t="str">
        <f t="shared" si="405"/>
        <v>9791188630066</v>
      </c>
      <c r="AV2626" t="str">
        <f t="shared" si="407"/>
        <v>판타지 웹소설 &gt; 현대 판타지</v>
      </c>
    </row>
    <row r="2627" spans="1:48" x14ac:dyDescent="0.4">
      <c r="A2627">
        <v>2313003101</v>
      </c>
      <c r="B2627">
        <v>2313003322</v>
      </c>
      <c r="C2627" t="str">
        <f>T("로드 오브 머니 222화")</f>
        <v>로드 오브 머니 222화</v>
      </c>
      <c r="D2627" t="str">
        <f>T("222")</f>
        <v>222</v>
      </c>
      <c r="E2627" t="str">
        <f t="shared" si="403"/>
        <v>무장</v>
      </c>
      <c r="H2627" t="str">
        <f t="shared" si="406"/>
        <v>스토리위즈</v>
      </c>
      <c r="I2627" t="str">
        <f t="shared" si="404"/>
        <v>로드 오브 머니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70</v>
      </c>
      <c r="AT2627" t="str">
        <f t="shared" si="405"/>
        <v>9791188630066</v>
      </c>
      <c r="AV2627" t="str">
        <f t="shared" si="407"/>
        <v>판타지 웹소설 &gt; 현대 판타지</v>
      </c>
    </row>
    <row r="2628" spans="1:48" x14ac:dyDescent="0.4">
      <c r="A2628">
        <v>2313003101</v>
      </c>
      <c r="B2628">
        <v>2313003323</v>
      </c>
      <c r="C2628" t="str">
        <f>T("로드 오브 머니 223화")</f>
        <v>로드 오브 머니 223화</v>
      </c>
      <c r="D2628" t="str">
        <f>T("223")</f>
        <v>223</v>
      </c>
      <c r="E2628" t="str">
        <f t="shared" si="403"/>
        <v>무장</v>
      </c>
      <c r="H2628" t="str">
        <f t="shared" si="406"/>
        <v>스토리위즈</v>
      </c>
      <c r="I2628" t="str">
        <f t="shared" si="404"/>
        <v>로드 오브 머니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70</v>
      </c>
      <c r="AT2628" t="str">
        <f t="shared" si="405"/>
        <v>9791188630066</v>
      </c>
      <c r="AV2628" t="str">
        <f t="shared" si="407"/>
        <v>판타지 웹소설 &gt; 현대 판타지</v>
      </c>
    </row>
    <row r="2629" spans="1:48" x14ac:dyDescent="0.4">
      <c r="A2629">
        <v>2313003101</v>
      </c>
      <c r="B2629">
        <v>2313003324</v>
      </c>
      <c r="C2629" t="str">
        <f>T("로드 오브 머니 224화")</f>
        <v>로드 오브 머니 224화</v>
      </c>
      <c r="D2629" t="str">
        <f>T("224")</f>
        <v>224</v>
      </c>
      <c r="E2629" t="str">
        <f t="shared" si="403"/>
        <v>무장</v>
      </c>
      <c r="H2629" t="str">
        <f t="shared" si="406"/>
        <v>스토리위즈</v>
      </c>
      <c r="I2629" t="str">
        <f t="shared" si="404"/>
        <v>로드 오브 머니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70</v>
      </c>
      <c r="AT2629" t="str">
        <f t="shared" si="405"/>
        <v>9791188630066</v>
      </c>
      <c r="AV2629" t="str">
        <f t="shared" si="407"/>
        <v>판타지 웹소설 &gt; 현대 판타지</v>
      </c>
    </row>
    <row r="2630" spans="1:48" x14ac:dyDescent="0.4">
      <c r="A2630">
        <v>2313003101</v>
      </c>
      <c r="B2630">
        <v>2313003325</v>
      </c>
      <c r="C2630" t="str">
        <f>T("로드 오브 머니 225화")</f>
        <v>로드 오브 머니 225화</v>
      </c>
      <c r="D2630" t="str">
        <f>T("225")</f>
        <v>225</v>
      </c>
      <c r="E2630" t="str">
        <f t="shared" si="403"/>
        <v>무장</v>
      </c>
      <c r="H2630" t="str">
        <f t="shared" si="406"/>
        <v>스토리위즈</v>
      </c>
      <c r="I2630" t="str">
        <f t="shared" si="404"/>
        <v>로드 오브 머니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70</v>
      </c>
      <c r="AT2630" t="str">
        <f t="shared" si="405"/>
        <v>9791188630066</v>
      </c>
      <c r="AV2630" t="str">
        <f t="shared" si="407"/>
        <v>판타지 웹소설 &gt; 현대 판타지</v>
      </c>
    </row>
    <row r="2631" spans="1:48" x14ac:dyDescent="0.4">
      <c r="A2631">
        <v>2313003101</v>
      </c>
      <c r="B2631">
        <v>2313003326</v>
      </c>
      <c r="C2631" t="str">
        <f>T("로드 오브 머니 226화")</f>
        <v>로드 오브 머니 226화</v>
      </c>
      <c r="D2631" t="str">
        <f>T("226")</f>
        <v>226</v>
      </c>
      <c r="E2631" t="str">
        <f t="shared" si="403"/>
        <v>무장</v>
      </c>
      <c r="H2631" t="str">
        <f t="shared" si="406"/>
        <v>스토리위즈</v>
      </c>
      <c r="I2631" t="str">
        <f t="shared" si="404"/>
        <v>로드 오브 머니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70</v>
      </c>
      <c r="AT2631" t="str">
        <f t="shared" si="405"/>
        <v>9791188630066</v>
      </c>
      <c r="AV2631" t="str">
        <f t="shared" si="407"/>
        <v>판타지 웹소설 &gt; 현대 판타지</v>
      </c>
    </row>
    <row r="2632" spans="1:48" x14ac:dyDescent="0.4">
      <c r="A2632">
        <v>2313003101</v>
      </c>
      <c r="B2632">
        <v>2313003327</v>
      </c>
      <c r="C2632" t="str">
        <f>T("로드 오브 머니 227화")</f>
        <v>로드 오브 머니 227화</v>
      </c>
      <c r="D2632" t="str">
        <f>T("227")</f>
        <v>227</v>
      </c>
      <c r="E2632" t="str">
        <f t="shared" si="403"/>
        <v>무장</v>
      </c>
      <c r="H2632" t="str">
        <f t="shared" si="406"/>
        <v>스토리위즈</v>
      </c>
      <c r="I2632" t="str">
        <f t="shared" si="404"/>
        <v>로드 오브 머니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70</v>
      </c>
      <c r="AT2632" t="str">
        <f t="shared" si="405"/>
        <v>9791188630066</v>
      </c>
      <c r="AV2632" t="str">
        <f t="shared" si="407"/>
        <v>판타지 웹소설 &gt; 현대 판타지</v>
      </c>
    </row>
    <row r="2633" spans="1:48" x14ac:dyDescent="0.4">
      <c r="A2633">
        <v>2313003101</v>
      </c>
      <c r="B2633">
        <v>2313003328</v>
      </c>
      <c r="C2633" t="str">
        <f>T("로드 오브 머니 228화")</f>
        <v>로드 오브 머니 228화</v>
      </c>
      <c r="D2633" t="str">
        <f>T("228")</f>
        <v>228</v>
      </c>
      <c r="E2633" t="str">
        <f t="shared" si="403"/>
        <v>무장</v>
      </c>
      <c r="H2633" t="str">
        <f t="shared" si="406"/>
        <v>스토리위즈</v>
      </c>
      <c r="I2633" t="str">
        <f t="shared" si="404"/>
        <v>로드 오브 머니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70</v>
      </c>
      <c r="AT2633" t="str">
        <f t="shared" si="405"/>
        <v>9791188630066</v>
      </c>
      <c r="AV2633" t="str">
        <f t="shared" si="407"/>
        <v>판타지 웹소설 &gt; 현대 판타지</v>
      </c>
    </row>
    <row r="2634" spans="1:48" x14ac:dyDescent="0.4">
      <c r="A2634">
        <v>2313003101</v>
      </c>
      <c r="B2634">
        <v>2313003329</v>
      </c>
      <c r="C2634" t="str">
        <f>T("로드 오브 머니 229화")</f>
        <v>로드 오브 머니 229화</v>
      </c>
      <c r="D2634" t="str">
        <f>T("229")</f>
        <v>229</v>
      </c>
      <c r="E2634" t="str">
        <f t="shared" si="403"/>
        <v>무장</v>
      </c>
      <c r="H2634" t="str">
        <f t="shared" si="406"/>
        <v>스토리위즈</v>
      </c>
      <c r="I2634" t="str">
        <f t="shared" si="404"/>
        <v>로드 오브 머니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70</v>
      </c>
      <c r="AT2634" t="str">
        <f t="shared" si="405"/>
        <v>9791188630066</v>
      </c>
      <c r="AV2634" t="str">
        <f t="shared" si="407"/>
        <v>판타지 웹소설 &gt; 현대 판타지</v>
      </c>
    </row>
    <row r="2635" spans="1:48" x14ac:dyDescent="0.4">
      <c r="A2635">
        <v>2313003101</v>
      </c>
      <c r="B2635">
        <v>2313003330</v>
      </c>
      <c r="C2635" t="str">
        <f>T("로드 오브 머니 230화")</f>
        <v>로드 오브 머니 230화</v>
      </c>
      <c r="D2635" t="str">
        <f>T("230")</f>
        <v>230</v>
      </c>
      <c r="E2635" t="str">
        <f t="shared" si="403"/>
        <v>무장</v>
      </c>
      <c r="H2635" t="str">
        <f t="shared" si="406"/>
        <v>스토리위즈</v>
      </c>
      <c r="I2635" t="str">
        <f t="shared" si="404"/>
        <v>로드 오브 머니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70</v>
      </c>
      <c r="AT2635" t="str">
        <f t="shared" si="405"/>
        <v>9791188630066</v>
      </c>
      <c r="AV2635" t="str">
        <f t="shared" si="407"/>
        <v>판타지 웹소설 &gt; 현대 판타지</v>
      </c>
    </row>
    <row r="2636" spans="1:48" x14ac:dyDescent="0.4">
      <c r="A2636">
        <v>2313003101</v>
      </c>
      <c r="B2636">
        <v>2313003331</v>
      </c>
      <c r="C2636" t="str">
        <f>T("로드 오브 머니 231화")</f>
        <v>로드 오브 머니 231화</v>
      </c>
      <c r="D2636" t="str">
        <f>T("231")</f>
        <v>231</v>
      </c>
      <c r="E2636" t="str">
        <f t="shared" si="403"/>
        <v>무장</v>
      </c>
      <c r="H2636" t="str">
        <f t="shared" si="406"/>
        <v>스토리위즈</v>
      </c>
      <c r="I2636" t="str">
        <f t="shared" si="404"/>
        <v>로드 오브 머니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70</v>
      </c>
      <c r="AT2636" t="str">
        <f t="shared" si="405"/>
        <v>9791188630066</v>
      </c>
      <c r="AV2636" t="str">
        <f t="shared" si="407"/>
        <v>판타지 웹소설 &gt; 현대 판타지</v>
      </c>
    </row>
    <row r="2637" spans="1:48" x14ac:dyDescent="0.4">
      <c r="A2637">
        <v>2313003101</v>
      </c>
      <c r="B2637">
        <v>2313003332</v>
      </c>
      <c r="C2637" t="str">
        <f>T("로드 오브 머니 232화")</f>
        <v>로드 오브 머니 232화</v>
      </c>
      <c r="D2637" t="str">
        <f>T("232")</f>
        <v>232</v>
      </c>
      <c r="E2637" t="str">
        <f t="shared" si="403"/>
        <v>무장</v>
      </c>
      <c r="H2637" t="str">
        <f t="shared" si="406"/>
        <v>스토리위즈</v>
      </c>
      <c r="I2637" t="str">
        <f t="shared" si="404"/>
        <v>로드 오브 머니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70</v>
      </c>
      <c r="AT2637" t="str">
        <f t="shared" si="405"/>
        <v>9791188630066</v>
      </c>
      <c r="AV2637" t="str">
        <f t="shared" si="407"/>
        <v>판타지 웹소설 &gt; 현대 판타지</v>
      </c>
    </row>
    <row r="2638" spans="1:48" x14ac:dyDescent="0.4">
      <c r="A2638">
        <v>2313003101</v>
      </c>
      <c r="B2638">
        <v>2313003333</v>
      </c>
      <c r="C2638" t="str">
        <f>T("로드 오브 머니 233화")</f>
        <v>로드 오브 머니 233화</v>
      </c>
      <c r="D2638" t="str">
        <f>T("233")</f>
        <v>233</v>
      </c>
      <c r="E2638" t="str">
        <f t="shared" ref="E2638:E2673" si="408">T("무장")</f>
        <v>무장</v>
      </c>
      <c r="H2638" t="str">
        <f t="shared" si="406"/>
        <v>스토리위즈</v>
      </c>
      <c r="I2638" t="str">
        <f t="shared" ref="I2638:I2673" si="409">T("로드 오브 머니")</f>
        <v>로드 오브 머니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70</v>
      </c>
      <c r="AT2638" t="str">
        <f t="shared" ref="AT2638:AT2673" si="410">T("9791188630066")</f>
        <v>9791188630066</v>
      </c>
      <c r="AV2638" t="str">
        <f t="shared" si="407"/>
        <v>판타지 웹소설 &gt; 현대 판타지</v>
      </c>
    </row>
    <row r="2639" spans="1:48" x14ac:dyDescent="0.4">
      <c r="A2639">
        <v>2313003101</v>
      </c>
      <c r="B2639">
        <v>2313003334</v>
      </c>
      <c r="C2639" t="str">
        <f>T("로드 오브 머니 234화")</f>
        <v>로드 오브 머니 234화</v>
      </c>
      <c r="D2639" t="str">
        <f>T("234")</f>
        <v>234</v>
      </c>
      <c r="E2639" t="str">
        <f t="shared" si="408"/>
        <v>무장</v>
      </c>
      <c r="H2639" t="str">
        <f t="shared" si="406"/>
        <v>스토리위즈</v>
      </c>
      <c r="I2639" t="str">
        <f t="shared" si="409"/>
        <v>로드 오브 머니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70</v>
      </c>
      <c r="AT2639" t="str">
        <f t="shared" si="410"/>
        <v>9791188630066</v>
      </c>
      <c r="AV2639" t="str">
        <f t="shared" si="407"/>
        <v>판타지 웹소설 &gt; 현대 판타지</v>
      </c>
    </row>
    <row r="2640" spans="1:48" x14ac:dyDescent="0.4">
      <c r="A2640">
        <v>2313003101</v>
      </c>
      <c r="B2640">
        <v>2313003335</v>
      </c>
      <c r="C2640" t="str">
        <f>T("로드 오브 머니 235화")</f>
        <v>로드 오브 머니 235화</v>
      </c>
      <c r="D2640" t="str">
        <f>T("235")</f>
        <v>235</v>
      </c>
      <c r="E2640" t="str">
        <f t="shared" si="408"/>
        <v>무장</v>
      </c>
      <c r="H2640" t="str">
        <f t="shared" si="406"/>
        <v>스토리위즈</v>
      </c>
      <c r="I2640" t="str">
        <f t="shared" si="409"/>
        <v>로드 오브 머니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T2640" t="str">
        <f t="shared" si="410"/>
        <v>9791188630066</v>
      </c>
      <c r="AV2640" t="str">
        <f t="shared" si="407"/>
        <v>판타지 웹소설 &gt; 현대 판타지</v>
      </c>
    </row>
    <row r="2641" spans="1:48" x14ac:dyDescent="0.4">
      <c r="A2641">
        <v>2313003101</v>
      </c>
      <c r="B2641">
        <v>2313003336</v>
      </c>
      <c r="C2641" t="str">
        <f>T("로드 오브 머니 236화")</f>
        <v>로드 오브 머니 236화</v>
      </c>
      <c r="D2641" t="str">
        <f>T("236")</f>
        <v>236</v>
      </c>
      <c r="E2641" t="str">
        <f t="shared" si="408"/>
        <v>무장</v>
      </c>
      <c r="H2641" t="str">
        <f t="shared" si="406"/>
        <v>스토리위즈</v>
      </c>
      <c r="I2641" t="str">
        <f t="shared" si="409"/>
        <v>로드 오브 머니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70</v>
      </c>
      <c r="AT2641" t="str">
        <f t="shared" si="410"/>
        <v>9791188630066</v>
      </c>
      <c r="AV2641" t="str">
        <f t="shared" si="407"/>
        <v>판타지 웹소설 &gt; 현대 판타지</v>
      </c>
    </row>
    <row r="2642" spans="1:48" x14ac:dyDescent="0.4">
      <c r="A2642">
        <v>2313003101</v>
      </c>
      <c r="B2642">
        <v>2313003337</v>
      </c>
      <c r="C2642" t="str">
        <f>T("로드 오브 머니 237화")</f>
        <v>로드 오브 머니 237화</v>
      </c>
      <c r="D2642" t="str">
        <f>T("237")</f>
        <v>237</v>
      </c>
      <c r="E2642" t="str">
        <f t="shared" si="408"/>
        <v>무장</v>
      </c>
      <c r="H2642" t="str">
        <f t="shared" si="406"/>
        <v>스토리위즈</v>
      </c>
      <c r="I2642" t="str">
        <f t="shared" si="409"/>
        <v>로드 오브 머니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70</v>
      </c>
      <c r="AT2642" t="str">
        <f t="shared" si="410"/>
        <v>9791188630066</v>
      </c>
      <c r="AV2642" t="str">
        <f t="shared" si="407"/>
        <v>판타지 웹소설 &gt; 현대 판타지</v>
      </c>
    </row>
    <row r="2643" spans="1:48" x14ac:dyDescent="0.4">
      <c r="A2643">
        <v>2313003101</v>
      </c>
      <c r="B2643">
        <v>2313003338</v>
      </c>
      <c r="C2643" t="str">
        <f>T("로드 오브 머니 238화")</f>
        <v>로드 오브 머니 238화</v>
      </c>
      <c r="D2643" t="str">
        <f>T("238")</f>
        <v>238</v>
      </c>
      <c r="E2643" t="str">
        <f t="shared" si="408"/>
        <v>무장</v>
      </c>
      <c r="H2643" t="str">
        <f t="shared" si="406"/>
        <v>스토리위즈</v>
      </c>
      <c r="I2643" t="str">
        <f t="shared" si="409"/>
        <v>로드 오브 머니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70</v>
      </c>
      <c r="AT2643" t="str">
        <f t="shared" si="410"/>
        <v>9791188630066</v>
      </c>
      <c r="AV2643" t="str">
        <f t="shared" si="407"/>
        <v>판타지 웹소설 &gt; 현대 판타지</v>
      </c>
    </row>
    <row r="2644" spans="1:48" x14ac:dyDescent="0.4">
      <c r="A2644">
        <v>2313003101</v>
      </c>
      <c r="B2644">
        <v>2313003341</v>
      </c>
      <c r="C2644" t="str">
        <f>T("로드 오브 머니 241화")</f>
        <v>로드 오브 머니 241화</v>
      </c>
      <c r="D2644" t="str">
        <f>T("241")</f>
        <v>241</v>
      </c>
      <c r="E2644" t="str">
        <f t="shared" si="408"/>
        <v>무장</v>
      </c>
      <c r="H2644" t="str">
        <f t="shared" si="406"/>
        <v>스토리위즈</v>
      </c>
      <c r="I2644" t="str">
        <f t="shared" si="409"/>
        <v>로드 오브 머니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70</v>
      </c>
      <c r="AT2644" t="str">
        <f t="shared" si="410"/>
        <v>9791188630066</v>
      </c>
      <c r="AV2644" t="str">
        <f t="shared" si="407"/>
        <v>판타지 웹소설 &gt; 현대 판타지</v>
      </c>
    </row>
    <row r="2645" spans="1:48" x14ac:dyDescent="0.4">
      <c r="A2645">
        <v>2313003101</v>
      </c>
      <c r="B2645">
        <v>2313003342</v>
      </c>
      <c r="C2645" t="str">
        <f>T("로드 오브 머니 242화")</f>
        <v>로드 오브 머니 242화</v>
      </c>
      <c r="D2645" t="str">
        <f>T("242")</f>
        <v>242</v>
      </c>
      <c r="E2645" t="str">
        <f t="shared" si="408"/>
        <v>무장</v>
      </c>
      <c r="H2645" t="str">
        <f t="shared" si="406"/>
        <v>스토리위즈</v>
      </c>
      <c r="I2645" t="str">
        <f t="shared" si="409"/>
        <v>로드 오브 머니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70</v>
      </c>
      <c r="AT2645" t="str">
        <f t="shared" si="410"/>
        <v>9791188630066</v>
      </c>
      <c r="AV2645" t="str">
        <f t="shared" si="407"/>
        <v>판타지 웹소설 &gt; 현대 판타지</v>
      </c>
    </row>
    <row r="2646" spans="1:48" x14ac:dyDescent="0.4">
      <c r="A2646">
        <v>2313003101</v>
      </c>
      <c r="B2646">
        <v>2313003343</v>
      </c>
      <c r="C2646" t="str">
        <f>T("로드 오브 머니 243화")</f>
        <v>로드 오브 머니 243화</v>
      </c>
      <c r="D2646" t="str">
        <f>T("243")</f>
        <v>243</v>
      </c>
      <c r="E2646" t="str">
        <f t="shared" si="408"/>
        <v>무장</v>
      </c>
      <c r="H2646" t="str">
        <f t="shared" si="406"/>
        <v>스토리위즈</v>
      </c>
      <c r="I2646" t="str">
        <f t="shared" si="409"/>
        <v>로드 오브 머니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70</v>
      </c>
      <c r="AT2646" t="str">
        <f t="shared" si="410"/>
        <v>9791188630066</v>
      </c>
      <c r="AV2646" t="str">
        <f t="shared" si="407"/>
        <v>판타지 웹소설 &gt; 현대 판타지</v>
      </c>
    </row>
    <row r="2647" spans="1:48" x14ac:dyDescent="0.4">
      <c r="A2647">
        <v>2313003101</v>
      </c>
      <c r="B2647">
        <v>2313003344</v>
      </c>
      <c r="C2647" t="str">
        <f>T("로드 오브 머니 244화")</f>
        <v>로드 오브 머니 244화</v>
      </c>
      <c r="D2647" t="str">
        <f>T("244")</f>
        <v>244</v>
      </c>
      <c r="E2647" t="str">
        <f t="shared" si="408"/>
        <v>무장</v>
      </c>
      <c r="H2647" t="str">
        <f t="shared" si="406"/>
        <v>스토리위즈</v>
      </c>
      <c r="I2647" t="str">
        <f t="shared" si="409"/>
        <v>로드 오브 머니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70</v>
      </c>
      <c r="AT2647" t="str">
        <f t="shared" si="410"/>
        <v>9791188630066</v>
      </c>
      <c r="AV2647" t="str">
        <f t="shared" si="407"/>
        <v>판타지 웹소설 &gt; 현대 판타지</v>
      </c>
    </row>
    <row r="2648" spans="1:48" x14ac:dyDescent="0.4">
      <c r="A2648">
        <v>2313003101</v>
      </c>
      <c r="B2648">
        <v>2313003345</v>
      </c>
      <c r="C2648" t="str">
        <f>T("로드 오브 머니 245화")</f>
        <v>로드 오브 머니 245화</v>
      </c>
      <c r="D2648" t="str">
        <f>T("245")</f>
        <v>245</v>
      </c>
      <c r="E2648" t="str">
        <f t="shared" si="408"/>
        <v>무장</v>
      </c>
      <c r="H2648" t="str">
        <f t="shared" si="406"/>
        <v>스토리위즈</v>
      </c>
      <c r="I2648" t="str">
        <f t="shared" si="409"/>
        <v>로드 오브 머니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70</v>
      </c>
      <c r="AT2648" t="str">
        <f t="shared" si="410"/>
        <v>9791188630066</v>
      </c>
      <c r="AV2648" t="str">
        <f t="shared" si="407"/>
        <v>판타지 웹소설 &gt; 현대 판타지</v>
      </c>
    </row>
    <row r="2649" spans="1:48" x14ac:dyDescent="0.4">
      <c r="A2649">
        <v>2313003101</v>
      </c>
      <c r="B2649">
        <v>2313003346</v>
      </c>
      <c r="C2649" t="str">
        <f>T("로드 오브 머니 246화")</f>
        <v>로드 오브 머니 246화</v>
      </c>
      <c r="D2649" t="str">
        <f>T("246")</f>
        <v>246</v>
      </c>
      <c r="E2649" t="str">
        <f t="shared" si="408"/>
        <v>무장</v>
      </c>
      <c r="H2649" t="str">
        <f t="shared" si="406"/>
        <v>스토리위즈</v>
      </c>
      <c r="I2649" t="str">
        <f t="shared" si="409"/>
        <v>로드 오브 머니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70</v>
      </c>
      <c r="AT2649" t="str">
        <f t="shared" si="410"/>
        <v>9791188630066</v>
      </c>
      <c r="AV2649" t="str">
        <f t="shared" si="407"/>
        <v>판타지 웹소설 &gt; 현대 판타지</v>
      </c>
    </row>
    <row r="2650" spans="1:48" x14ac:dyDescent="0.4">
      <c r="A2650">
        <v>2313003101</v>
      </c>
      <c r="B2650">
        <v>2313003347</v>
      </c>
      <c r="C2650" t="str">
        <f>T("로드 오브 머니 247화")</f>
        <v>로드 오브 머니 247화</v>
      </c>
      <c r="D2650" t="str">
        <f>T("247")</f>
        <v>247</v>
      </c>
      <c r="E2650" t="str">
        <f t="shared" si="408"/>
        <v>무장</v>
      </c>
      <c r="H2650" t="str">
        <f t="shared" si="406"/>
        <v>스토리위즈</v>
      </c>
      <c r="I2650" t="str">
        <f t="shared" si="409"/>
        <v>로드 오브 머니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70</v>
      </c>
      <c r="AT2650" t="str">
        <f t="shared" si="410"/>
        <v>9791188630066</v>
      </c>
      <c r="AV2650" t="str">
        <f t="shared" si="407"/>
        <v>판타지 웹소설 &gt; 현대 판타지</v>
      </c>
    </row>
    <row r="2651" spans="1:48" x14ac:dyDescent="0.4">
      <c r="A2651">
        <v>2313003101</v>
      </c>
      <c r="B2651">
        <v>2313003348</v>
      </c>
      <c r="C2651" t="str">
        <f>T("로드 오브 머니 248화")</f>
        <v>로드 오브 머니 248화</v>
      </c>
      <c r="D2651" t="str">
        <f>T("248")</f>
        <v>248</v>
      </c>
      <c r="E2651" t="str">
        <f t="shared" si="408"/>
        <v>무장</v>
      </c>
      <c r="H2651" t="str">
        <f t="shared" si="406"/>
        <v>스토리위즈</v>
      </c>
      <c r="I2651" t="str">
        <f t="shared" si="409"/>
        <v>로드 오브 머니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70</v>
      </c>
      <c r="AT2651" t="str">
        <f t="shared" si="410"/>
        <v>9791188630066</v>
      </c>
      <c r="AV2651" t="str">
        <f t="shared" si="407"/>
        <v>판타지 웹소설 &gt; 현대 판타지</v>
      </c>
    </row>
    <row r="2652" spans="1:48" x14ac:dyDescent="0.4">
      <c r="A2652">
        <v>2313003101</v>
      </c>
      <c r="B2652">
        <v>2313003349</v>
      </c>
      <c r="C2652" t="str">
        <f>T("로드 오브 머니 249화")</f>
        <v>로드 오브 머니 249화</v>
      </c>
      <c r="D2652" t="str">
        <f>T("249")</f>
        <v>249</v>
      </c>
      <c r="E2652" t="str">
        <f t="shared" si="408"/>
        <v>무장</v>
      </c>
      <c r="H2652" t="str">
        <f t="shared" si="406"/>
        <v>스토리위즈</v>
      </c>
      <c r="I2652" t="str">
        <f t="shared" si="409"/>
        <v>로드 오브 머니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70</v>
      </c>
      <c r="AT2652" t="str">
        <f t="shared" si="410"/>
        <v>9791188630066</v>
      </c>
      <c r="AV2652" t="str">
        <f t="shared" si="407"/>
        <v>판타지 웹소설 &gt; 현대 판타지</v>
      </c>
    </row>
    <row r="2653" spans="1:48" x14ac:dyDescent="0.4">
      <c r="A2653">
        <v>2313003101</v>
      </c>
      <c r="B2653">
        <v>2313003350</v>
      </c>
      <c r="C2653" t="str">
        <f>T("로드 오브 머니 250화")</f>
        <v>로드 오브 머니 250화</v>
      </c>
      <c r="D2653" t="str">
        <f>T("250")</f>
        <v>250</v>
      </c>
      <c r="E2653" t="str">
        <f t="shared" si="408"/>
        <v>무장</v>
      </c>
      <c r="H2653" t="str">
        <f t="shared" si="406"/>
        <v>스토리위즈</v>
      </c>
      <c r="I2653" t="str">
        <f t="shared" si="409"/>
        <v>로드 오브 머니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70</v>
      </c>
      <c r="AT2653" t="str">
        <f t="shared" si="410"/>
        <v>9791188630066</v>
      </c>
      <c r="AV2653" t="str">
        <f t="shared" si="407"/>
        <v>판타지 웹소설 &gt; 현대 판타지</v>
      </c>
    </row>
    <row r="2654" spans="1:48" x14ac:dyDescent="0.4">
      <c r="A2654">
        <v>2313003101</v>
      </c>
      <c r="B2654">
        <v>2313003360</v>
      </c>
      <c r="C2654" t="str">
        <f>T("로드 오브 머니 260화")</f>
        <v>로드 오브 머니 260화</v>
      </c>
      <c r="D2654" t="str">
        <f>T("260")</f>
        <v>260</v>
      </c>
      <c r="E2654" t="str">
        <f t="shared" si="408"/>
        <v>무장</v>
      </c>
      <c r="H2654" t="str">
        <f t="shared" si="406"/>
        <v>스토리위즈</v>
      </c>
      <c r="I2654" t="str">
        <f t="shared" si="409"/>
        <v>로드 오브 머니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70</v>
      </c>
      <c r="AT2654" t="str">
        <f t="shared" si="410"/>
        <v>9791188630066</v>
      </c>
      <c r="AV2654" t="str">
        <f t="shared" si="407"/>
        <v>판타지 웹소설 &gt; 현대 판타지</v>
      </c>
    </row>
    <row r="2655" spans="1:48" x14ac:dyDescent="0.4">
      <c r="A2655">
        <v>2313003101</v>
      </c>
      <c r="B2655">
        <v>2313003361</v>
      </c>
      <c r="C2655" t="str">
        <f>T("로드 오브 머니 261화")</f>
        <v>로드 오브 머니 261화</v>
      </c>
      <c r="D2655" t="str">
        <f>T("261")</f>
        <v>261</v>
      </c>
      <c r="E2655" t="str">
        <f t="shared" si="408"/>
        <v>무장</v>
      </c>
      <c r="H2655" t="str">
        <f t="shared" si="406"/>
        <v>스토리위즈</v>
      </c>
      <c r="I2655" t="str">
        <f t="shared" si="409"/>
        <v>로드 오브 머니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T2655" t="str">
        <f t="shared" si="410"/>
        <v>9791188630066</v>
      </c>
      <c r="AV2655" t="str">
        <f t="shared" si="407"/>
        <v>판타지 웹소설 &gt; 현대 판타지</v>
      </c>
    </row>
    <row r="2656" spans="1:48" x14ac:dyDescent="0.4">
      <c r="A2656">
        <v>2313003101</v>
      </c>
      <c r="B2656">
        <v>2313003362</v>
      </c>
      <c r="C2656" t="str">
        <f>T("로드 오브 머니 262화")</f>
        <v>로드 오브 머니 262화</v>
      </c>
      <c r="D2656" t="str">
        <f>T("262")</f>
        <v>262</v>
      </c>
      <c r="E2656" t="str">
        <f t="shared" si="408"/>
        <v>무장</v>
      </c>
      <c r="H2656" t="str">
        <f t="shared" si="406"/>
        <v>스토리위즈</v>
      </c>
      <c r="I2656" t="str">
        <f t="shared" si="409"/>
        <v>로드 오브 머니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70</v>
      </c>
      <c r="AT2656" t="str">
        <f t="shared" si="410"/>
        <v>9791188630066</v>
      </c>
      <c r="AV2656" t="str">
        <f t="shared" si="407"/>
        <v>판타지 웹소설 &gt; 현대 판타지</v>
      </c>
    </row>
    <row r="2657" spans="1:48" x14ac:dyDescent="0.4">
      <c r="A2657">
        <v>2313003101</v>
      </c>
      <c r="B2657">
        <v>2313003363</v>
      </c>
      <c r="C2657" t="str">
        <f>T("로드 오브 머니 263화")</f>
        <v>로드 오브 머니 263화</v>
      </c>
      <c r="D2657" t="str">
        <f>T("263")</f>
        <v>263</v>
      </c>
      <c r="E2657" t="str">
        <f t="shared" si="408"/>
        <v>무장</v>
      </c>
      <c r="H2657" t="str">
        <f t="shared" si="406"/>
        <v>스토리위즈</v>
      </c>
      <c r="I2657" t="str">
        <f t="shared" si="409"/>
        <v>로드 오브 머니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70</v>
      </c>
      <c r="AT2657" t="str">
        <f t="shared" si="410"/>
        <v>9791188630066</v>
      </c>
      <c r="AV2657" t="str">
        <f t="shared" si="407"/>
        <v>판타지 웹소설 &gt; 현대 판타지</v>
      </c>
    </row>
    <row r="2658" spans="1:48" x14ac:dyDescent="0.4">
      <c r="A2658">
        <v>2313003101</v>
      </c>
      <c r="B2658">
        <v>2313003364</v>
      </c>
      <c r="C2658" t="str">
        <f>T("로드 오브 머니 264화")</f>
        <v>로드 오브 머니 264화</v>
      </c>
      <c r="D2658" t="str">
        <f>T("264")</f>
        <v>264</v>
      </c>
      <c r="E2658" t="str">
        <f t="shared" si="408"/>
        <v>무장</v>
      </c>
      <c r="H2658" t="str">
        <f t="shared" si="406"/>
        <v>스토리위즈</v>
      </c>
      <c r="I2658" t="str">
        <f t="shared" si="409"/>
        <v>로드 오브 머니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70</v>
      </c>
      <c r="AT2658" t="str">
        <f t="shared" si="410"/>
        <v>9791188630066</v>
      </c>
      <c r="AV2658" t="str">
        <f t="shared" si="407"/>
        <v>판타지 웹소설 &gt; 현대 판타지</v>
      </c>
    </row>
    <row r="2659" spans="1:48" x14ac:dyDescent="0.4">
      <c r="A2659">
        <v>2313003101</v>
      </c>
      <c r="B2659">
        <v>2313003365</v>
      </c>
      <c r="C2659" t="str">
        <f>T("로드 오브 머니 265화")</f>
        <v>로드 오브 머니 265화</v>
      </c>
      <c r="D2659" t="str">
        <f>T("265")</f>
        <v>265</v>
      </c>
      <c r="E2659" t="str">
        <f t="shared" si="408"/>
        <v>무장</v>
      </c>
      <c r="H2659" t="str">
        <f t="shared" si="406"/>
        <v>스토리위즈</v>
      </c>
      <c r="I2659" t="str">
        <f t="shared" si="409"/>
        <v>로드 오브 머니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70</v>
      </c>
      <c r="AT2659" t="str">
        <f t="shared" si="410"/>
        <v>9791188630066</v>
      </c>
      <c r="AV2659" t="str">
        <f t="shared" si="407"/>
        <v>판타지 웹소설 &gt; 현대 판타지</v>
      </c>
    </row>
    <row r="2660" spans="1:48" x14ac:dyDescent="0.4">
      <c r="A2660">
        <v>2313003101</v>
      </c>
      <c r="B2660">
        <v>2313003366</v>
      </c>
      <c r="C2660" t="str">
        <f>T("로드 오브 머니 266화")</f>
        <v>로드 오브 머니 266화</v>
      </c>
      <c r="D2660" t="str">
        <f>T("266")</f>
        <v>266</v>
      </c>
      <c r="E2660" t="str">
        <f t="shared" si="408"/>
        <v>무장</v>
      </c>
      <c r="H2660" t="str">
        <f t="shared" si="406"/>
        <v>스토리위즈</v>
      </c>
      <c r="I2660" t="str">
        <f t="shared" si="409"/>
        <v>로드 오브 머니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70</v>
      </c>
      <c r="AT2660" t="str">
        <f t="shared" si="410"/>
        <v>9791188630066</v>
      </c>
      <c r="AV2660" t="str">
        <f t="shared" si="407"/>
        <v>판타지 웹소설 &gt; 현대 판타지</v>
      </c>
    </row>
    <row r="2661" spans="1:48" x14ac:dyDescent="0.4">
      <c r="A2661">
        <v>2313003101</v>
      </c>
      <c r="B2661">
        <v>2313003367</v>
      </c>
      <c r="C2661" t="str">
        <f>T("로드 오브 머니 267화")</f>
        <v>로드 오브 머니 267화</v>
      </c>
      <c r="D2661" t="str">
        <f>T("267")</f>
        <v>267</v>
      </c>
      <c r="E2661" t="str">
        <f t="shared" si="408"/>
        <v>무장</v>
      </c>
      <c r="H2661" t="str">
        <f t="shared" si="406"/>
        <v>스토리위즈</v>
      </c>
      <c r="I2661" t="str">
        <f t="shared" si="409"/>
        <v>로드 오브 머니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70</v>
      </c>
      <c r="AT2661" t="str">
        <f t="shared" si="410"/>
        <v>9791188630066</v>
      </c>
      <c r="AV2661" t="str">
        <f t="shared" si="407"/>
        <v>판타지 웹소설 &gt; 현대 판타지</v>
      </c>
    </row>
    <row r="2662" spans="1:48" x14ac:dyDescent="0.4">
      <c r="A2662">
        <v>2313003101</v>
      </c>
      <c r="B2662">
        <v>2313003404</v>
      </c>
      <c r="C2662" t="str">
        <f>T("로드 오브 머니 304화")</f>
        <v>로드 오브 머니 304화</v>
      </c>
      <c r="D2662" t="str">
        <f>T("304")</f>
        <v>304</v>
      </c>
      <c r="E2662" t="str">
        <f t="shared" si="408"/>
        <v>무장</v>
      </c>
      <c r="H2662" t="str">
        <f t="shared" si="406"/>
        <v>스토리위즈</v>
      </c>
      <c r="I2662" t="str">
        <f t="shared" si="409"/>
        <v>로드 오브 머니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70</v>
      </c>
      <c r="AT2662" t="str">
        <f t="shared" si="410"/>
        <v>9791188630066</v>
      </c>
      <c r="AV2662" t="str">
        <f t="shared" si="407"/>
        <v>판타지 웹소설 &gt; 현대 판타지</v>
      </c>
    </row>
    <row r="2663" spans="1:48" x14ac:dyDescent="0.4">
      <c r="A2663">
        <v>2313003101</v>
      </c>
      <c r="B2663">
        <v>2313003405</v>
      </c>
      <c r="C2663" t="str">
        <f>T("로드 오브 머니 305화")</f>
        <v>로드 오브 머니 305화</v>
      </c>
      <c r="D2663" t="str">
        <f>T("305")</f>
        <v>305</v>
      </c>
      <c r="E2663" t="str">
        <f t="shared" si="408"/>
        <v>무장</v>
      </c>
      <c r="H2663" t="str">
        <f t="shared" si="406"/>
        <v>스토리위즈</v>
      </c>
      <c r="I2663" t="str">
        <f t="shared" si="409"/>
        <v>로드 오브 머니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70</v>
      </c>
      <c r="AT2663" t="str">
        <f t="shared" si="410"/>
        <v>9791188630066</v>
      </c>
      <c r="AV2663" t="str">
        <f t="shared" si="407"/>
        <v>판타지 웹소설 &gt; 현대 판타지</v>
      </c>
    </row>
    <row r="2664" spans="1:48" x14ac:dyDescent="0.4">
      <c r="A2664">
        <v>2313003101</v>
      </c>
      <c r="B2664">
        <v>2313003406</v>
      </c>
      <c r="C2664" t="str">
        <f>T("로드 오브 머니 306화")</f>
        <v>로드 오브 머니 306화</v>
      </c>
      <c r="D2664" t="str">
        <f>T("306")</f>
        <v>306</v>
      </c>
      <c r="E2664" t="str">
        <f t="shared" si="408"/>
        <v>무장</v>
      </c>
      <c r="H2664" t="str">
        <f t="shared" si="406"/>
        <v>스토리위즈</v>
      </c>
      <c r="I2664" t="str">
        <f t="shared" si="409"/>
        <v>로드 오브 머니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70</v>
      </c>
      <c r="AT2664" t="str">
        <f t="shared" si="410"/>
        <v>9791188630066</v>
      </c>
      <c r="AV2664" t="str">
        <f t="shared" si="407"/>
        <v>판타지 웹소설 &gt; 현대 판타지</v>
      </c>
    </row>
    <row r="2665" spans="1:48" x14ac:dyDescent="0.4">
      <c r="A2665">
        <v>2313003101</v>
      </c>
      <c r="B2665">
        <v>2313003407</v>
      </c>
      <c r="C2665" t="str">
        <f>T("로드 오브 머니 307화")</f>
        <v>로드 오브 머니 307화</v>
      </c>
      <c r="D2665" t="str">
        <f>T("307")</f>
        <v>307</v>
      </c>
      <c r="E2665" t="str">
        <f t="shared" si="408"/>
        <v>무장</v>
      </c>
      <c r="H2665" t="str">
        <f t="shared" si="406"/>
        <v>스토리위즈</v>
      </c>
      <c r="I2665" t="str">
        <f t="shared" si="409"/>
        <v>로드 오브 머니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70</v>
      </c>
      <c r="AT2665" t="str">
        <f t="shared" si="410"/>
        <v>9791188630066</v>
      </c>
      <c r="AV2665" t="str">
        <f t="shared" si="407"/>
        <v>판타지 웹소설 &gt; 현대 판타지</v>
      </c>
    </row>
    <row r="2666" spans="1:48" x14ac:dyDescent="0.4">
      <c r="A2666">
        <v>2313003101</v>
      </c>
      <c r="B2666">
        <v>2313003408</v>
      </c>
      <c r="C2666" t="str">
        <f>T("로드 오브 머니 308화")</f>
        <v>로드 오브 머니 308화</v>
      </c>
      <c r="D2666" t="str">
        <f>T("308")</f>
        <v>308</v>
      </c>
      <c r="E2666" t="str">
        <f t="shared" si="408"/>
        <v>무장</v>
      </c>
      <c r="H2666" t="str">
        <f t="shared" si="406"/>
        <v>스토리위즈</v>
      </c>
      <c r="I2666" t="str">
        <f t="shared" si="409"/>
        <v>로드 오브 머니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70</v>
      </c>
      <c r="AT2666" t="str">
        <f t="shared" si="410"/>
        <v>9791188630066</v>
      </c>
      <c r="AV2666" t="str">
        <f t="shared" si="407"/>
        <v>판타지 웹소설 &gt; 현대 판타지</v>
      </c>
    </row>
    <row r="2667" spans="1:48" x14ac:dyDescent="0.4">
      <c r="A2667">
        <v>2313003101</v>
      </c>
      <c r="B2667">
        <v>2313003409</v>
      </c>
      <c r="C2667" t="str">
        <f>T("로드 오브 머니 309화")</f>
        <v>로드 오브 머니 309화</v>
      </c>
      <c r="D2667" t="str">
        <f>T("309")</f>
        <v>309</v>
      </c>
      <c r="E2667" t="str">
        <f t="shared" si="408"/>
        <v>무장</v>
      </c>
      <c r="H2667" t="str">
        <f t="shared" si="406"/>
        <v>스토리위즈</v>
      </c>
      <c r="I2667" t="str">
        <f t="shared" si="409"/>
        <v>로드 오브 머니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70</v>
      </c>
      <c r="AT2667" t="str">
        <f t="shared" si="410"/>
        <v>9791188630066</v>
      </c>
      <c r="AV2667" t="str">
        <f t="shared" si="407"/>
        <v>판타지 웹소설 &gt; 현대 판타지</v>
      </c>
    </row>
    <row r="2668" spans="1:48" x14ac:dyDescent="0.4">
      <c r="A2668">
        <v>2313003101</v>
      </c>
      <c r="B2668">
        <v>2313003410</v>
      </c>
      <c r="C2668" t="str">
        <f>T("로드 오브 머니 310화")</f>
        <v>로드 오브 머니 310화</v>
      </c>
      <c r="D2668" t="str">
        <f>T("310")</f>
        <v>310</v>
      </c>
      <c r="E2668" t="str">
        <f t="shared" si="408"/>
        <v>무장</v>
      </c>
      <c r="H2668" t="str">
        <f t="shared" si="406"/>
        <v>스토리위즈</v>
      </c>
      <c r="I2668" t="str">
        <f t="shared" si="409"/>
        <v>로드 오브 머니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70</v>
      </c>
      <c r="AT2668" t="str">
        <f t="shared" si="410"/>
        <v>9791188630066</v>
      </c>
      <c r="AV2668" t="str">
        <f t="shared" si="407"/>
        <v>판타지 웹소설 &gt; 현대 판타지</v>
      </c>
    </row>
    <row r="2669" spans="1:48" x14ac:dyDescent="0.4">
      <c r="A2669">
        <v>2313003101</v>
      </c>
      <c r="B2669">
        <v>2313003411</v>
      </c>
      <c r="C2669" t="str">
        <f>T("로드 오브 머니 311화")</f>
        <v>로드 오브 머니 311화</v>
      </c>
      <c r="D2669" t="str">
        <f>T("311")</f>
        <v>311</v>
      </c>
      <c r="E2669" t="str">
        <f t="shared" si="408"/>
        <v>무장</v>
      </c>
      <c r="H2669" t="str">
        <f t="shared" si="406"/>
        <v>스토리위즈</v>
      </c>
      <c r="I2669" t="str">
        <f t="shared" si="409"/>
        <v>로드 오브 머니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70</v>
      </c>
      <c r="AT2669" t="str">
        <f t="shared" si="410"/>
        <v>9791188630066</v>
      </c>
      <c r="AV2669" t="str">
        <f t="shared" si="407"/>
        <v>판타지 웹소설 &gt; 현대 판타지</v>
      </c>
    </row>
    <row r="2670" spans="1:48" x14ac:dyDescent="0.4">
      <c r="A2670">
        <v>2313003101</v>
      </c>
      <c r="B2670">
        <v>2313003412</v>
      </c>
      <c r="C2670" t="str">
        <f>T("로드 오브 머니 312화")</f>
        <v>로드 오브 머니 312화</v>
      </c>
      <c r="D2670" t="str">
        <f>T("312")</f>
        <v>312</v>
      </c>
      <c r="E2670" t="str">
        <f t="shared" si="408"/>
        <v>무장</v>
      </c>
      <c r="H2670" t="str">
        <f t="shared" si="406"/>
        <v>스토리위즈</v>
      </c>
      <c r="I2670" t="str">
        <f t="shared" si="409"/>
        <v>로드 오브 머니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70</v>
      </c>
      <c r="AT2670" t="str">
        <f t="shared" si="410"/>
        <v>9791188630066</v>
      </c>
      <c r="AV2670" t="str">
        <f t="shared" si="407"/>
        <v>판타지 웹소설 &gt; 현대 판타지</v>
      </c>
    </row>
    <row r="2671" spans="1:48" x14ac:dyDescent="0.4">
      <c r="A2671">
        <v>2313003101</v>
      </c>
      <c r="B2671">
        <v>2313003413</v>
      </c>
      <c r="C2671" t="str">
        <f>T("로드 오브 머니 313화")</f>
        <v>로드 오브 머니 313화</v>
      </c>
      <c r="D2671" t="str">
        <f>T("313")</f>
        <v>313</v>
      </c>
      <c r="E2671" t="str">
        <f t="shared" si="408"/>
        <v>무장</v>
      </c>
      <c r="H2671" t="str">
        <f t="shared" si="406"/>
        <v>스토리위즈</v>
      </c>
      <c r="I2671" t="str">
        <f t="shared" si="409"/>
        <v>로드 오브 머니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70</v>
      </c>
      <c r="AT2671" t="str">
        <f t="shared" si="410"/>
        <v>9791188630066</v>
      </c>
      <c r="AV2671" t="str">
        <f t="shared" si="407"/>
        <v>판타지 웹소설 &gt; 현대 판타지</v>
      </c>
    </row>
    <row r="2672" spans="1:48" x14ac:dyDescent="0.4">
      <c r="A2672">
        <v>2313003101</v>
      </c>
      <c r="B2672">
        <v>2313003414</v>
      </c>
      <c r="C2672" t="str">
        <f>T("로드 오브 머니 314화")</f>
        <v>로드 오브 머니 314화</v>
      </c>
      <c r="D2672" t="str">
        <f>T("314")</f>
        <v>314</v>
      </c>
      <c r="E2672" t="str">
        <f t="shared" si="408"/>
        <v>무장</v>
      </c>
      <c r="H2672" t="str">
        <f t="shared" si="406"/>
        <v>스토리위즈</v>
      </c>
      <c r="I2672" t="str">
        <f t="shared" si="409"/>
        <v>로드 오브 머니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70</v>
      </c>
      <c r="AT2672" t="str">
        <f t="shared" si="410"/>
        <v>9791188630066</v>
      </c>
      <c r="AV2672" t="str">
        <f t="shared" si="407"/>
        <v>판타지 웹소설 &gt; 현대 판타지</v>
      </c>
    </row>
    <row r="2673" spans="1:48" x14ac:dyDescent="0.4">
      <c r="A2673">
        <v>2313003101</v>
      </c>
      <c r="B2673">
        <v>2313003415</v>
      </c>
      <c r="C2673" t="str">
        <f>T("로드 오브 머니 315화 (완결)")</f>
        <v>로드 오브 머니 315화 (완결)</v>
      </c>
      <c r="D2673" t="str">
        <f>T("315")</f>
        <v>315</v>
      </c>
      <c r="E2673" t="str">
        <f t="shared" si="408"/>
        <v>무장</v>
      </c>
      <c r="H2673" t="str">
        <f t="shared" si="406"/>
        <v>스토리위즈</v>
      </c>
      <c r="I2673" t="str">
        <f t="shared" si="409"/>
        <v>로드 오브 머니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70</v>
      </c>
      <c r="AT2673" t="str">
        <f t="shared" si="410"/>
        <v>9791188630066</v>
      </c>
      <c r="AV2673" t="str">
        <f t="shared" si="407"/>
        <v>판타지 웹소설 &gt; 현대 판타지</v>
      </c>
    </row>
    <row r="2674" spans="1:48" x14ac:dyDescent="0.4">
      <c r="A2674">
        <v>2313002926</v>
      </c>
      <c r="B2674">
        <v>2313003489</v>
      </c>
      <c r="C2674" t="str">
        <f>T("나 혼자만 일일 보상 248화 (외전 25) (완결)")</f>
        <v>나 혼자만 일일 보상 248화 (외전 25) (완결)</v>
      </c>
      <c r="D2674" t="str">
        <f>T("249")</f>
        <v>249</v>
      </c>
      <c r="E2674" t="str">
        <f>T("이동열")</f>
        <v>이동열</v>
      </c>
      <c r="H2674" t="str">
        <f t="shared" si="406"/>
        <v>스토리위즈</v>
      </c>
      <c r="I2674" t="str">
        <f>T("나 혼자만 일일 보상")</f>
        <v>나 혼자만 일일 보상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70</v>
      </c>
      <c r="AT2674" t="str">
        <f>T("9791159286889")</f>
        <v>9791159286889</v>
      </c>
      <c r="AV2674" t="str">
        <f t="shared" si="407"/>
        <v>판타지 웹소설 &gt; 현대 판타지</v>
      </c>
    </row>
    <row r="2675" spans="1:48" x14ac:dyDescent="0.4">
      <c r="A2675">
        <v>2313004289</v>
      </c>
      <c r="B2675">
        <v>2313004314</v>
      </c>
      <c r="C2675" t="str">
        <f>T("SSS급 마왕의 귀환 26화")</f>
        <v>SSS급 마왕의 귀환 26화</v>
      </c>
      <c r="D2675" t="str">
        <f>T("26")</f>
        <v>26</v>
      </c>
      <c r="E2675" t="str">
        <f t="shared" ref="E2675:E2738" si="411">T("구유")</f>
        <v>구유</v>
      </c>
      <c r="H2675" t="str">
        <f t="shared" si="406"/>
        <v>스토리위즈</v>
      </c>
      <c r="I2675" t="str">
        <f t="shared" ref="I2675:I2738" si="412">T("SSS급 마왕의 귀환")</f>
        <v>SSS급 마왕의 귀환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70</v>
      </c>
      <c r="AT2675" t="str">
        <f t="shared" ref="AT2675:AT2738" si="413">T("9791159289057")</f>
        <v>9791159289057</v>
      </c>
      <c r="AV2675" t="str">
        <f t="shared" ref="AV2675:AV2738" si="414">T("판타지 웹소설 &gt; 퓨전 판타지")</f>
        <v>판타지 웹소설 &gt; 퓨전 판타지</v>
      </c>
    </row>
    <row r="2676" spans="1:48" x14ac:dyDescent="0.4">
      <c r="A2676">
        <v>2313004289</v>
      </c>
      <c r="B2676">
        <v>2313004315</v>
      </c>
      <c r="C2676" t="str">
        <f>T("SSS급 마왕의 귀환 27화")</f>
        <v>SSS급 마왕의 귀환 27화</v>
      </c>
      <c r="D2676" t="str">
        <f>T("27")</f>
        <v>27</v>
      </c>
      <c r="E2676" t="str">
        <f t="shared" si="411"/>
        <v>구유</v>
      </c>
      <c r="H2676" t="str">
        <f t="shared" si="406"/>
        <v>스토리위즈</v>
      </c>
      <c r="I2676" t="str">
        <f t="shared" si="412"/>
        <v>SSS급 마왕의 귀환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70</v>
      </c>
      <c r="AT2676" t="str">
        <f t="shared" si="413"/>
        <v>9791159289057</v>
      </c>
      <c r="AV2676" t="str">
        <f t="shared" si="414"/>
        <v>판타지 웹소설 &gt; 퓨전 판타지</v>
      </c>
    </row>
    <row r="2677" spans="1:48" x14ac:dyDescent="0.4">
      <c r="A2677">
        <v>2313004289</v>
      </c>
      <c r="B2677">
        <v>2313004316</v>
      </c>
      <c r="C2677" t="str">
        <f>T("SSS급 마왕의 귀환 28화")</f>
        <v>SSS급 마왕의 귀환 28화</v>
      </c>
      <c r="D2677" t="str">
        <f>T("28")</f>
        <v>28</v>
      </c>
      <c r="E2677" t="str">
        <f t="shared" si="411"/>
        <v>구유</v>
      </c>
      <c r="H2677" t="str">
        <f t="shared" si="406"/>
        <v>스토리위즈</v>
      </c>
      <c r="I2677" t="str">
        <f t="shared" si="412"/>
        <v>SSS급 마왕의 귀환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70</v>
      </c>
      <c r="AT2677" t="str">
        <f t="shared" si="413"/>
        <v>9791159289057</v>
      </c>
      <c r="AV2677" t="str">
        <f t="shared" si="414"/>
        <v>판타지 웹소설 &gt; 퓨전 판타지</v>
      </c>
    </row>
    <row r="2678" spans="1:48" x14ac:dyDescent="0.4">
      <c r="A2678">
        <v>2313004289</v>
      </c>
      <c r="B2678">
        <v>2313004317</v>
      </c>
      <c r="C2678" t="str">
        <f>T("SSS급 마왕의 귀환 29화")</f>
        <v>SSS급 마왕의 귀환 29화</v>
      </c>
      <c r="D2678" t="str">
        <f>T("29")</f>
        <v>29</v>
      </c>
      <c r="E2678" t="str">
        <f t="shared" si="411"/>
        <v>구유</v>
      </c>
      <c r="H2678" t="str">
        <f t="shared" si="406"/>
        <v>스토리위즈</v>
      </c>
      <c r="I2678" t="str">
        <f t="shared" si="412"/>
        <v>SSS급 마왕의 귀환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70</v>
      </c>
      <c r="AT2678" t="str">
        <f t="shared" si="413"/>
        <v>9791159289057</v>
      </c>
      <c r="AV2678" t="str">
        <f t="shared" si="414"/>
        <v>판타지 웹소설 &gt; 퓨전 판타지</v>
      </c>
    </row>
    <row r="2679" spans="1:48" x14ac:dyDescent="0.4">
      <c r="A2679">
        <v>2313004289</v>
      </c>
      <c r="B2679">
        <v>2313004318</v>
      </c>
      <c r="C2679" t="str">
        <f>T("SSS급 마왕의 귀환 30화")</f>
        <v>SSS급 마왕의 귀환 30화</v>
      </c>
      <c r="D2679" t="str">
        <f>T("30")</f>
        <v>30</v>
      </c>
      <c r="E2679" t="str">
        <f t="shared" si="411"/>
        <v>구유</v>
      </c>
      <c r="H2679" t="str">
        <f t="shared" si="406"/>
        <v>스토리위즈</v>
      </c>
      <c r="I2679" t="str">
        <f t="shared" si="412"/>
        <v>SSS급 마왕의 귀환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70</v>
      </c>
      <c r="AT2679" t="str">
        <f t="shared" si="413"/>
        <v>9791159289057</v>
      </c>
      <c r="AV2679" t="str">
        <f t="shared" si="414"/>
        <v>판타지 웹소설 &gt; 퓨전 판타지</v>
      </c>
    </row>
    <row r="2680" spans="1:48" x14ac:dyDescent="0.4">
      <c r="A2680">
        <v>2313004289</v>
      </c>
      <c r="B2680">
        <v>2313004319</v>
      </c>
      <c r="C2680" t="str">
        <f>T("SSS급 마왕의 귀환 31화")</f>
        <v>SSS급 마왕의 귀환 31화</v>
      </c>
      <c r="D2680" t="str">
        <f>T("31")</f>
        <v>31</v>
      </c>
      <c r="E2680" t="str">
        <f t="shared" si="411"/>
        <v>구유</v>
      </c>
      <c r="H2680" t="str">
        <f t="shared" si="406"/>
        <v>스토리위즈</v>
      </c>
      <c r="I2680" t="str">
        <f t="shared" si="412"/>
        <v>SSS급 마왕의 귀환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70</v>
      </c>
      <c r="AT2680" t="str">
        <f t="shared" si="413"/>
        <v>9791159289057</v>
      </c>
      <c r="AV2680" t="str">
        <f t="shared" si="414"/>
        <v>판타지 웹소설 &gt; 퓨전 판타지</v>
      </c>
    </row>
    <row r="2681" spans="1:48" x14ac:dyDescent="0.4">
      <c r="A2681">
        <v>2313004289</v>
      </c>
      <c r="B2681">
        <v>2313004320</v>
      </c>
      <c r="C2681" t="str">
        <f>T("SSS급 마왕의 귀환 32화")</f>
        <v>SSS급 마왕의 귀환 32화</v>
      </c>
      <c r="D2681" t="str">
        <f>T("32")</f>
        <v>32</v>
      </c>
      <c r="E2681" t="str">
        <f t="shared" si="411"/>
        <v>구유</v>
      </c>
      <c r="H2681" t="str">
        <f t="shared" ref="H2681:H2744" si="415">T("스토리위즈")</f>
        <v>스토리위즈</v>
      </c>
      <c r="I2681" t="str">
        <f t="shared" si="412"/>
        <v>SSS급 마왕의 귀환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70</v>
      </c>
      <c r="AT2681" t="str">
        <f t="shared" si="413"/>
        <v>9791159289057</v>
      </c>
      <c r="AV2681" t="str">
        <f t="shared" si="414"/>
        <v>판타지 웹소설 &gt; 퓨전 판타지</v>
      </c>
    </row>
    <row r="2682" spans="1:48" x14ac:dyDescent="0.4">
      <c r="A2682">
        <v>2313004289</v>
      </c>
      <c r="B2682">
        <v>2313004321</v>
      </c>
      <c r="C2682" t="str">
        <f>T("SSS급 마왕의 귀환 33화")</f>
        <v>SSS급 마왕의 귀환 33화</v>
      </c>
      <c r="D2682" t="str">
        <f>T("33")</f>
        <v>33</v>
      </c>
      <c r="E2682" t="str">
        <f t="shared" si="411"/>
        <v>구유</v>
      </c>
      <c r="H2682" t="str">
        <f t="shared" si="415"/>
        <v>스토리위즈</v>
      </c>
      <c r="I2682" t="str">
        <f t="shared" si="412"/>
        <v>SSS급 마왕의 귀환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70</v>
      </c>
      <c r="AT2682" t="str">
        <f t="shared" si="413"/>
        <v>9791159289057</v>
      </c>
      <c r="AV2682" t="str">
        <f t="shared" si="414"/>
        <v>판타지 웹소설 &gt; 퓨전 판타지</v>
      </c>
    </row>
    <row r="2683" spans="1:48" x14ac:dyDescent="0.4">
      <c r="A2683">
        <v>2313004289</v>
      </c>
      <c r="B2683">
        <v>2313004322</v>
      </c>
      <c r="C2683" t="str">
        <f>T("SSS급 마왕의 귀환 34화")</f>
        <v>SSS급 마왕의 귀환 34화</v>
      </c>
      <c r="D2683" t="str">
        <f>T("34")</f>
        <v>34</v>
      </c>
      <c r="E2683" t="str">
        <f t="shared" si="411"/>
        <v>구유</v>
      </c>
      <c r="H2683" t="str">
        <f t="shared" si="415"/>
        <v>스토리위즈</v>
      </c>
      <c r="I2683" t="str">
        <f t="shared" si="412"/>
        <v>SSS급 마왕의 귀환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70</v>
      </c>
      <c r="AT2683" t="str">
        <f t="shared" si="413"/>
        <v>9791159289057</v>
      </c>
      <c r="AV2683" t="str">
        <f t="shared" si="414"/>
        <v>판타지 웹소설 &gt; 퓨전 판타지</v>
      </c>
    </row>
    <row r="2684" spans="1:48" x14ac:dyDescent="0.4">
      <c r="A2684">
        <v>2313004289</v>
      </c>
      <c r="B2684">
        <v>2313004323</v>
      </c>
      <c r="C2684" t="str">
        <f>T("SSS급 마왕의 귀환 35화")</f>
        <v>SSS급 마왕의 귀환 35화</v>
      </c>
      <c r="D2684" t="str">
        <f>T("35")</f>
        <v>35</v>
      </c>
      <c r="E2684" t="str">
        <f t="shared" si="411"/>
        <v>구유</v>
      </c>
      <c r="H2684" t="str">
        <f t="shared" si="415"/>
        <v>스토리위즈</v>
      </c>
      <c r="I2684" t="str">
        <f t="shared" si="412"/>
        <v>SSS급 마왕의 귀환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70</v>
      </c>
      <c r="AT2684" t="str">
        <f t="shared" si="413"/>
        <v>9791159289057</v>
      </c>
      <c r="AV2684" t="str">
        <f t="shared" si="414"/>
        <v>판타지 웹소설 &gt; 퓨전 판타지</v>
      </c>
    </row>
    <row r="2685" spans="1:48" x14ac:dyDescent="0.4">
      <c r="A2685">
        <v>2313004289</v>
      </c>
      <c r="B2685">
        <v>2313004324</v>
      </c>
      <c r="C2685" t="str">
        <f>T("SSS급 마왕의 귀환 36화")</f>
        <v>SSS급 마왕의 귀환 36화</v>
      </c>
      <c r="D2685" t="str">
        <f>T("36")</f>
        <v>36</v>
      </c>
      <c r="E2685" t="str">
        <f t="shared" si="411"/>
        <v>구유</v>
      </c>
      <c r="H2685" t="str">
        <f t="shared" si="415"/>
        <v>스토리위즈</v>
      </c>
      <c r="I2685" t="str">
        <f t="shared" si="412"/>
        <v>SSS급 마왕의 귀환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70</v>
      </c>
      <c r="AT2685" t="str">
        <f t="shared" si="413"/>
        <v>9791159289057</v>
      </c>
      <c r="AV2685" t="str">
        <f t="shared" si="414"/>
        <v>판타지 웹소설 &gt; 퓨전 판타지</v>
      </c>
    </row>
    <row r="2686" spans="1:48" x14ac:dyDescent="0.4">
      <c r="A2686">
        <v>2313004289</v>
      </c>
      <c r="B2686">
        <v>2313004325</v>
      </c>
      <c r="C2686" t="str">
        <f>T("SSS급 마왕의 귀환 37화")</f>
        <v>SSS급 마왕의 귀환 37화</v>
      </c>
      <c r="D2686" t="str">
        <f>T("37")</f>
        <v>37</v>
      </c>
      <c r="E2686" t="str">
        <f t="shared" si="411"/>
        <v>구유</v>
      </c>
      <c r="H2686" t="str">
        <f t="shared" si="415"/>
        <v>스토리위즈</v>
      </c>
      <c r="I2686" t="str">
        <f t="shared" si="412"/>
        <v>SSS급 마왕의 귀환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T2686" t="str">
        <f t="shared" si="413"/>
        <v>9791159289057</v>
      </c>
      <c r="AV2686" t="str">
        <f t="shared" si="414"/>
        <v>판타지 웹소설 &gt; 퓨전 판타지</v>
      </c>
    </row>
    <row r="2687" spans="1:48" x14ac:dyDescent="0.4">
      <c r="A2687">
        <v>2313004289</v>
      </c>
      <c r="B2687">
        <v>2313004326</v>
      </c>
      <c r="C2687" t="str">
        <f>T("SSS급 마왕의 귀환 38화")</f>
        <v>SSS급 마왕의 귀환 38화</v>
      </c>
      <c r="D2687" t="str">
        <f>T("38")</f>
        <v>38</v>
      </c>
      <c r="E2687" t="str">
        <f t="shared" si="411"/>
        <v>구유</v>
      </c>
      <c r="H2687" t="str">
        <f t="shared" si="415"/>
        <v>스토리위즈</v>
      </c>
      <c r="I2687" t="str">
        <f t="shared" si="412"/>
        <v>SSS급 마왕의 귀환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T2687" t="str">
        <f t="shared" si="413"/>
        <v>9791159289057</v>
      </c>
      <c r="AV2687" t="str">
        <f t="shared" si="414"/>
        <v>판타지 웹소설 &gt; 퓨전 판타지</v>
      </c>
    </row>
    <row r="2688" spans="1:48" x14ac:dyDescent="0.4">
      <c r="A2688">
        <v>2313004289</v>
      </c>
      <c r="B2688">
        <v>2313004327</v>
      </c>
      <c r="C2688" t="str">
        <f>T("SSS급 마왕의 귀환 39화")</f>
        <v>SSS급 마왕의 귀환 39화</v>
      </c>
      <c r="D2688" t="str">
        <f>T("39")</f>
        <v>39</v>
      </c>
      <c r="E2688" t="str">
        <f t="shared" si="411"/>
        <v>구유</v>
      </c>
      <c r="H2688" t="str">
        <f t="shared" si="415"/>
        <v>스토리위즈</v>
      </c>
      <c r="I2688" t="str">
        <f t="shared" si="412"/>
        <v>SSS급 마왕의 귀환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T2688" t="str">
        <f t="shared" si="413"/>
        <v>9791159289057</v>
      </c>
      <c r="AV2688" t="str">
        <f t="shared" si="414"/>
        <v>판타지 웹소설 &gt; 퓨전 판타지</v>
      </c>
    </row>
    <row r="2689" spans="1:48" x14ac:dyDescent="0.4">
      <c r="A2689">
        <v>2313004289</v>
      </c>
      <c r="B2689">
        <v>2313004328</v>
      </c>
      <c r="C2689" t="str">
        <f>T("SSS급 마왕의 귀환 40화")</f>
        <v>SSS급 마왕의 귀환 40화</v>
      </c>
      <c r="D2689" t="str">
        <f>T("40")</f>
        <v>40</v>
      </c>
      <c r="E2689" t="str">
        <f t="shared" si="411"/>
        <v>구유</v>
      </c>
      <c r="H2689" t="str">
        <f t="shared" si="415"/>
        <v>스토리위즈</v>
      </c>
      <c r="I2689" t="str">
        <f t="shared" si="412"/>
        <v>SSS급 마왕의 귀환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T2689" t="str">
        <f t="shared" si="413"/>
        <v>9791159289057</v>
      </c>
      <c r="AV2689" t="str">
        <f t="shared" si="414"/>
        <v>판타지 웹소설 &gt; 퓨전 판타지</v>
      </c>
    </row>
    <row r="2690" spans="1:48" x14ac:dyDescent="0.4">
      <c r="A2690">
        <v>2313004289</v>
      </c>
      <c r="B2690">
        <v>2313004329</v>
      </c>
      <c r="C2690" t="str">
        <f>T("SSS급 마왕의 귀환 41화")</f>
        <v>SSS급 마왕의 귀환 41화</v>
      </c>
      <c r="D2690" t="str">
        <f>T("41")</f>
        <v>41</v>
      </c>
      <c r="E2690" t="str">
        <f t="shared" si="411"/>
        <v>구유</v>
      </c>
      <c r="H2690" t="str">
        <f t="shared" si="415"/>
        <v>스토리위즈</v>
      </c>
      <c r="I2690" t="str">
        <f t="shared" si="412"/>
        <v>SSS급 마왕의 귀환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T2690" t="str">
        <f t="shared" si="413"/>
        <v>9791159289057</v>
      </c>
      <c r="AV2690" t="str">
        <f t="shared" si="414"/>
        <v>판타지 웹소설 &gt; 퓨전 판타지</v>
      </c>
    </row>
    <row r="2691" spans="1:48" x14ac:dyDescent="0.4">
      <c r="A2691">
        <v>2313004289</v>
      </c>
      <c r="B2691">
        <v>2313004330</v>
      </c>
      <c r="C2691" t="str">
        <f>T("SSS급 마왕의 귀환 42화")</f>
        <v>SSS급 마왕의 귀환 42화</v>
      </c>
      <c r="D2691" t="str">
        <f>T("42")</f>
        <v>42</v>
      </c>
      <c r="E2691" t="str">
        <f t="shared" si="411"/>
        <v>구유</v>
      </c>
      <c r="H2691" t="str">
        <f t="shared" si="415"/>
        <v>스토리위즈</v>
      </c>
      <c r="I2691" t="str">
        <f t="shared" si="412"/>
        <v>SSS급 마왕의 귀환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T2691" t="str">
        <f t="shared" si="413"/>
        <v>9791159289057</v>
      </c>
      <c r="AV2691" t="str">
        <f t="shared" si="414"/>
        <v>판타지 웹소설 &gt; 퓨전 판타지</v>
      </c>
    </row>
    <row r="2692" spans="1:48" x14ac:dyDescent="0.4">
      <c r="A2692">
        <v>2313004289</v>
      </c>
      <c r="B2692">
        <v>2313004331</v>
      </c>
      <c r="C2692" t="str">
        <f>T("SSS급 마왕의 귀환 43화")</f>
        <v>SSS급 마왕의 귀환 43화</v>
      </c>
      <c r="D2692" t="str">
        <f>T("43")</f>
        <v>43</v>
      </c>
      <c r="E2692" t="str">
        <f t="shared" si="411"/>
        <v>구유</v>
      </c>
      <c r="H2692" t="str">
        <f t="shared" si="415"/>
        <v>스토리위즈</v>
      </c>
      <c r="I2692" t="str">
        <f t="shared" si="412"/>
        <v>SSS급 마왕의 귀환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T2692" t="str">
        <f t="shared" si="413"/>
        <v>9791159289057</v>
      </c>
      <c r="AV2692" t="str">
        <f t="shared" si="414"/>
        <v>판타지 웹소설 &gt; 퓨전 판타지</v>
      </c>
    </row>
    <row r="2693" spans="1:48" x14ac:dyDescent="0.4">
      <c r="A2693">
        <v>2313004289</v>
      </c>
      <c r="B2693">
        <v>2313004332</v>
      </c>
      <c r="C2693" t="str">
        <f>T("SSS급 마왕의 귀환 44화")</f>
        <v>SSS급 마왕의 귀환 44화</v>
      </c>
      <c r="D2693" t="str">
        <f>T("44")</f>
        <v>44</v>
      </c>
      <c r="E2693" t="str">
        <f t="shared" si="411"/>
        <v>구유</v>
      </c>
      <c r="H2693" t="str">
        <f t="shared" si="415"/>
        <v>스토리위즈</v>
      </c>
      <c r="I2693" t="str">
        <f t="shared" si="412"/>
        <v>SSS급 마왕의 귀환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T2693" t="str">
        <f t="shared" si="413"/>
        <v>9791159289057</v>
      </c>
      <c r="AV2693" t="str">
        <f t="shared" si="414"/>
        <v>판타지 웹소설 &gt; 퓨전 판타지</v>
      </c>
    </row>
    <row r="2694" spans="1:48" x14ac:dyDescent="0.4">
      <c r="A2694">
        <v>2313004289</v>
      </c>
      <c r="B2694">
        <v>2313004333</v>
      </c>
      <c r="C2694" t="str">
        <f>T("SSS급 마왕의 귀환 45화")</f>
        <v>SSS급 마왕의 귀환 45화</v>
      </c>
      <c r="D2694" t="str">
        <f>T("45")</f>
        <v>45</v>
      </c>
      <c r="E2694" t="str">
        <f t="shared" si="411"/>
        <v>구유</v>
      </c>
      <c r="H2694" t="str">
        <f t="shared" si="415"/>
        <v>스토리위즈</v>
      </c>
      <c r="I2694" t="str">
        <f t="shared" si="412"/>
        <v>SSS급 마왕의 귀환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T2694" t="str">
        <f t="shared" si="413"/>
        <v>9791159289057</v>
      </c>
      <c r="AV2694" t="str">
        <f t="shared" si="414"/>
        <v>판타지 웹소설 &gt; 퓨전 판타지</v>
      </c>
    </row>
    <row r="2695" spans="1:48" x14ac:dyDescent="0.4">
      <c r="A2695">
        <v>2313004289</v>
      </c>
      <c r="B2695">
        <v>2313004334</v>
      </c>
      <c r="C2695" t="str">
        <f>T("SSS급 마왕의 귀환 46화")</f>
        <v>SSS급 마왕의 귀환 46화</v>
      </c>
      <c r="D2695" t="str">
        <f>T("46")</f>
        <v>46</v>
      </c>
      <c r="E2695" t="str">
        <f t="shared" si="411"/>
        <v>구유</v>
      </c>
      <c r="H2695" t="str">
        <f t="shared" si="415"/>
        <v>스토리위즈</v>
      </c>
      <c r="I2695" t="str">
        <f t="shared" si="412"/>
        <v>SSS급 마왕의 귀환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T2695" t="str">
        <f t="shared" si="413"/>
        <v>9791159289057</v>
      </c>
      <c r="AV2695" t="str">
        <f t="shared" si="414"/>
        <v>판타지 웹소설 &gt; 퓨전 판타지</v>
      </c>
    </row>
    <row r="2696" spans="1:48" x14ac:dyDescent="0.4">
      <c r="A2696">
        <v>2313004289</v>
      </c>
      <c r="B2696">
        <v>2313004335</v>
      </c>
      <c r="C2696" t="str">
        <f>T("SSS급 마왕의 귀환 47화")</f>
        <v>SSS급 마왕의 귀환 47화</v>
      </c>
      <c r="D2696" t="str">
        <f>T("47")</f>
        <v>47</v>
      </c>
      <c r="E2696" t="str">
        <f t="shared" si="411"/>
        <v>구유</v>
      </c>
      <c r="H2696" t="str">
        <f t="shared" si="415"/>
        <v>스토리위즈</v>
      </c>
      <c r="I2696" t="str">
        <f t="shared" si="412"/>
        <v>SSS급 마왕의 귀환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T2696" t="str">
        <f t="shared" si="413"/>
        <v>9791159289057</v>
      </c>
      <c r="AV2696" t="str">
        <f t="shared" si="414"/>
        <v>판타지 웹소설 &gt; 퓨전 판타지</v>
      </c>
    </row>
    <row r="2697" spans="1:48" x14ac:dyDescent="0.4">
      <c r="A2697">
        <v>2313004289</v>
      </c>
      <c r="B2697">
        <v>2313004336</v>
      </c>
      <c r="C2697" t="str">
        <f>T("SSS급 마왕의 귀환 48화")</f>
        <v>SSS급 마왕의 귀환 48화</v>
      </c>
      <c r="D2697" t="str">
        <f>T("48")</f>
        <v>48</v>
      </c>
      <c r="E2697" t="str">
        <f t="shared" si="411"/>
        <v>구유</v>
      </c>
      <c r="H2697" t="str">
        <f t="shared" si="415"/>
        <v>스토리위즈</v>
      </c>
      <c r="I2697" t="str">
        <f t="shared" si="412"/>
        <v>SSS급 마왕의 귀환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T2697" t="str">
        <f t="shared" si="413"/>
        <v>9791159289057</v>
      </c>
      <c r="AV2697" t="str">
        <f t="shared" si="414"/>
        <v>판타지 웹소설 &gt; 퓨전 판타지</v>
      </c>
    </row>
    <row r="2698" spans="1:48" x14ac:dyDescent="0.4">
      <c r="A2698">
        <v>2313004289</v>
      </c>
      <c r="B2698">
        <v>2313004337</v>
      </c>
      <c r="C2698" t="str">
        <f>T("SSS급 마왕의 귀환 49화")</f>
        <v>SSS급 마왕의 귀환 49화</v>
      </c>
      <c r="D2698" t="str">
        <f>T("49")</f>
        <v>49</v>
      </c>
      <c r="E2698" t="str">
        <f t="shared" si="411"/>
        <v>구유</v>
      </c>
      <c r="H2698" t="str">
        <f t="shared" si="415"/>
        <v>스토리위즈</v>
      </c>
      <c r="I2698" t="str">
        <f t="shared" si="412"/>
        <v>SSS급 마왕의 귀환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T2698" t="str">
        <f t="shared" si="413"/>
        <v>9791159289057</v>
      </c>
      <c r="AV2698" t="str">
        <f t="shared" si="414"/>
        <v>판타지 웹소설 &gt; 퓨전 판타지</v>
      </c>
    </row>
    <row r="2699" spans="1:48" x14ac:dyDescent="0.4">
      <c r="A2699">
        <v>2313004289</v>
      </c>
      <c r="B2699">
        <v>2313004338</v>
      </c>
      <c r="C2699" t="str">
        <f>T("SSS급 마왕의 귀환 50화")</f>
        <v>SSS급 마왕의 귀환 50화</v>
      </c>
      <c r="D2699" t="str">
        <f>T("50")</f>
        <v>50</v>
      </c>
      <c r="E2699" t="str">
        <f t="shared" si="411"/>
        <v>구유</v>
      </c>
      <c r="H2699" t="str">
        <f t="shared" si="415"/>
        <v>스토리위즈</v>
      </c>
      <c r="I2699" t="str">
        <f t="shared" si="412"/>
        <v>SSS급 마왕의 귀환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T2699" t="str">
        <f t="shared" si="413"/>
        <v>9791159289057</v>
      </c>
      <c r="AV2699" t="str">
        <f t="shared" si="414"/>
        <v>판타지 웹소설 &gt; 퓨전 판타지</v>
      </c>
    </row>
    <row r="2700" spans="1:48" x14ac:dyDescent="0.4">
      <c r="A2700">
        <v>2313004289</v>
      </c>
      <c r="B2700">
        <v>2313004339</v>
      </c>
      <c r="C2700" t="str">
        <f>T("SSS급 마왕의 귀환 51화")</f>
        <v>SSS급 마왕의 귀환 51화</v>
      </c>
      <c r="D2700" t="str">
        <f>T("51")</f>
        <v>51</v>
      </c>
      <c r="E2700" t="str">
        <f t="shared" si="411"/>
        <v>구유</v>
      </c>
      <c r="H2700" t="str">
        <f t="shared" si="415"/>
        <v>스토리위즈</v>
      </c>
      <c r="I2700" t="str">
        <f t="shared" si="412"/>
        <v>SSS급 마왕의 귀환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T2700" t="str">
        <f t="shared" si="413"/>
        <v>9791159289057</v>
      </c>
      <c r="AV2700" t="str">
        <f t="shared" si="414"/>
        <v>판타지 웹소설 &gt; 퓨전 판타지</v>
      </c>
    </row>
    <row r="2701" spans="1:48" x14ac:dyDescent="0.4">
      <c r="A2701">
        <v>2313004289</v>
      </c>
      <c r="B2701">
        <v>2313004340</v>
      </c>
      <c r="C2701" t="str">
        <f>T("SSS급 마왕의 귀환 52화")</f>
        <v>SSS급 마왕의 귀환 52화</v>
      </c>
      <c r="D2701" t="str">
        <f>T("52")</f>
        <v>52</v>
      </c>
      <c r="E2701" t="str">
        <f t="shared" si="411"/>
        <v>구유</v>
      </c>
      <c r="H2701" t="str">
        <f t="shared" si="415"/>
        <v>스토리위즈</v>
      </c>
      <c r="I2701" t="str">
        <f t="shared" si="412"/>
        <v>SSS급 마왕의 귀환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T2701" t="str">
        <f t="shared" si="413"/>
        <v>9791159289057</v>
      </c>
      <c r="AV2701" t="str">
        <f t="shared" si="414"/>
        <v>판타지 웹소설 &gt; 퓨전 판타지</v>
      </c>
    </row>
    <row r="2702" spans="1:48" x14ac:dyDescent="0.4">
      <c r="A2702">
        <v>2313004289</v>
      </c>
      <c r="B2702">
        <v>2313004341</v>
      </c>
      <c r="C2702" t="str">
        <f>T("SSS급 마왕의 귀환 53화")</f>
        <v>SSS급 마왕의 귀환 53화</v>
      </c>
      <c r="D2702" t="str">
        <f>T("53")</f>
        <v>53</v>
      </c>
      <c r="E2702" t="str">
        <f t="shared" si="411"/>
        <v>구유</v>
      </c>
      <c r="H2702" t="str">
        <f t="shared" si="415"/>
        <v>스토리위즈</v>
      </c>
      <c r="I2702" t="str">
        <f t="shared" si="412"/>
        <v>SSS급 마왕의 귀환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T2702" t="str">
        <f t="shared" si="413"/>
        <v>9791159289057</v>
      </c>
      <c r="AV2702" t="str">
        <f t="shared" si="414"/>
        <v>판타지 웹소설 &gt; 퓨전 판타지</v>
      </c>
    </row>
    <row r="2703" spans="1:48" x14ac:dyDescent="0.4">
      <c r="A2703">
        <v>2313004289</v>
      </c>
      <c r="B2703">
        <v>2313004342</v>
      </c>
      <c r="C2703" t="str">
        <f>T("SSS급 마왕의 귀환 54화")</f>
        <v>SSS급 마왕의 귀환 54화</v>
      </c>
      <c r="D2703" t="str">
        <f>T("54")</f>
        <v>54</v>
      </c>
      <c r="E2703" t="str">
        <f t="shared" si="411"/>
        <v>구유</v>
      </c>
      <c r="H2703" t="str">
        <f t="shared" si="415"/>
        <v>스토리위즈</v>
      </c>
      <c r="I2703" t="str">
        <f t="shared" si="412"/>
        <v>SSS급 마왕의 귀환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T2703" t="str">
        <f t="shared" si="413"/>
        <v>9791159289057</v>
      </c>
      <c r="AV2703" t="str">
        <f t="shared" si="414"/>
        <v>판타지 웹소설 &gt; 퓨전 판타지</v>
      </c>
    </row>
    <row r="2704" spans="1:48" x14ac:dyDescent="0.4">
      <c r="A2704">
        <v>2313004289</v>
      </c>
      <c r="B2704">
        <v>2313004343</v>
      </c>
      <c r="C2704" t="str">
        <f>T("SSS급 마왕의 귀환 55화")</f>
        <v>SSS급 마왕의 귀환 55화</v>
      </c>
      <c r="D2704" t="str">
        <f>T("55")</f>
        <v>55</v>
      </c>
      <c r="E2704" t="str">
        <f t="shared" si="411"/>
        <v>구유</v>
      </c>
      <c r="H2704" t="str">
        <f t="shared" si="415"/>
        <v>스토리위즈</v>
      </c>
      <c r="I2704" t="str">
        <f t="shared" si="412"/>
        <v>SSS급 마왕의 귀환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T2704" t="str">
        <f t="shared" si="413"/>
        <v>9791159289057</v>
      </c>
      <c r="AV2704" t="str">
        <f t="shared" si="414"/>
        <v>판타지 웹소설 &gt; 퓨전 판타지</v>
      </c>
    </row>
    <row r="2705" spans="1:48" x14ac:dyDescent="0.4">
      <c r="A2705">
        <v>2313004289</v>
      </c>
      <c r="B2705">
        <v>2313004344</v>
      </c>
      <c r="C2705" t="str">
        <f>T("SSS급 마왕의 귀환 56화")</f>
        <v>SSS급 마왕의 귀환 56화</v>
      </c>
      <c r="D2705" t="str">
        <f>T("56")</f>
        <v>56</v>
      </c>
      <c r="E2705" t="str">
        <f t="shared" si="411"/>
        <v>구유</v>
      </c>
      <c r="H2705" t="str">
        <f t="shared" si="415"/>
        <v>스토리위즈</v>
      </c>
      <c r="I2705" t="str">
        <f t="shared" si="412"/>
        <v>SSS급 마왕의 귀환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T2705" t="str">
        <f t="shared" si="413"/>
        <v>9791159289057</v>
      </c>
      <c r="AV2705" t="str">
        <f t="shared" si="414"/>
        <v>판타지 웹소설 &gt; 퓨전 판타지</v>
      </c>
    </row>
    <row r="2706" spans="1:48" x14ac:dyDescent="0.4">
      <c r="A2706">
        <v>2313004289</v>
      </c>
      <c r="B2706">
        <v>2313004345</v>
      </c>
      <c r="C2706" t="str">
        <f>T("SSS급 마왕의 귀환 57화")</f>
        <v>SSS급 마왕의 귀환 57화</v>
      </c>
      <c r="D2706" t="str">
        <f>T("57")</f>
        <v>57</v>
      </c>
      <c r="E2706" t="str">
        <f t="shared" si="411"/>
        <v>구유</v>
      </c>
      <c r="H2706" t="str">
        <f t="shared" si="415"/>
        <v>스토리위즈</v>
      </c>
      <c r="I2706" t="str">
        <f t="shared" si="412"/>
        <v>SSS급 마왕의 귀환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T2706" t="str">
        <f t="shared" si="413"/>
        <v>9791159289057</v>
      </c>
      <c r="AV2706" t="str">
        <f t="shared" si="414"/>
        <v>판타지 웹소설 &gt; 퓨전 판타지</v>
      </c>
    </row>
    <row r="2707" spans="1:48" x14ac:dyDescent="0.4">
      <c r="A2707">
        <v>2313004289</v>
      </c>
      <c r="B2707">
        <v>2313004346</v>
      </c>
      <c r="C2707" t="str">
        <f>T("SSS급 마왕의 귀환 58화")</f>
        <v>SSS급 마왕의 귀환 58화</v>
      </c>
      <c r="D2707" t="str">
        <f>T("58")</f>
        <v>58</v>
      </c>
      <c r="E2707" t="str">
        <f t="shared" si="411"/>
        <v>구유</v>
      </c>
      <c r="H2707" t="str">
        <f t="shared" si="415"/>
        <v>스토리위즈</v>
      </c>
      <c r="I2707" t="str">
        <f t="shared" si="412"/>
        <v>SSS급 마왕의 귀환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T2707" t="str">
        <f t="shared" si="413"/>
        <v>9791159289057</v>
      </c>
      <c r="AV2707" t="str">
        <f t="shared" si="414"/>
        <v>판타지 웹소설 &gt; 퓨전 판타지</v>
      </c>
    </row>
    <row r="2708" spans="1:48" x14ac:dyDescent="0.4">
      <c r="A2708">
        <v>2313004289</v>
      </c>
      <c r="B2708">
        <v>2313004347</v>
      </c>
      <c r="C2708" t="str">
        <f>T("SSS급 마왕의 귀환 59화")</f>
        <v>SSS급 마왕의 귀환 59화</v>
      </c>
      <c r="D2708" t="str">
        <f>T("59")</f>
        <v>59</v>
      </c>
      <c r="E2708" t="str">
        <f t="shared" si="411"/>
        <v>구유</v>
      </c>
      <c r="H2708" t="str">
        <f t="shared" si="415"/>
        <v>스토리위즈</v>
      </c>
      <c r="I2708" t="str">
        <f t="shared" si="412"/>
        <v>SSS급 마왕의 귀환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T2708" t="str">
        <f t="shared" si="413"/>
        <v>9791159289057</v>
      </c>
      <c r="AV2708" t="str">
        <f t="shared" si="414"/>
        <v>판타지 웹소설 &gt; 퓨전 판타지</v>
      </c>
    </row>
    <row r="2709" spans="1:48" x14ac:dyDescent="0.4">
      <c r="A2709">
        <v>2313004289</v>
      </c>
      <c r="B2709">
        <v>2313004348</v>
      </c>
      <c r="C2709" t="str">
        <f>T("SSS급 마왕의 귀환 60화")</f>
        <v>SSS급 마왕의 귀환 60화</v>
      </c>
      <c r="D2709" t="str">
        <f>T("60")</f>
        <v>60</v>
      </c>
      <c r="E2709" t="str">
        <f t="shared" si="411"/>
        <v>구유</v>
      </c>
      <c r="H2709" t="str">
        <f t="shared" si="415"/>
        <v>스토리위즈</v>
      </c>
      <c r="I2709" t="str">
        <f t="shared" si="412"/>
        <v>SSS급 마왕의 귀환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T2709" t="str">
        <f t="shared" si="413"/>
        <v>9791159289057</v>
      </c>
      <c r="AV2709" t="str">
        <f t="shared" si="414"/>
        <v>판타지 웹소설 &gt; 퓨전 판타지</v>
      </c>
    </row>
    <row r="2710" spans="1:48" x14ac:dyDescent="0.4">
      <c r="A2710">
        <v>2313004289</v>
      </c>
      <c r="B2710">
        <v>2313004349</v>
      </c>
      <c r="C2710" t="str">
        <f>T("SSS급 마왕의 귀환 61화")</f>
        <v>SSS급 마왕의 귀환 61화</v>
      </c>
      <c r="D2710" t="str">
        <f>T("61")</f>
        <v>61</v>
      </c>
      <c r="E2710" t="str">
        <f t="shared" si="411"/>
        <v>구유</v>
      </c>
      <c r="H2710" t="str">
        <f t="shared" si="415"/>
        <v>스토리위즈</v>
      </c>
      <c r="I2710" t="str">
        <f t="shared" si="412"/>
        <v>SSS급 마왕의 귀환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T2710" t="str">
        <f t="shared" si="413"/>
        <v>9791159289057</v>
      </c>
      <c r="AV2710" t="str">
        <f t="shared" si="414"/>
        <v>판타지 웹소설 &gt; 퓨전 판타지</v>
      </c>
    </row>
    <row r="2711" spans="1:48" x14ac:dyDescent="0.4">
      <c r="A2711">
        <v>2313004289</v>
      </c>
      <c r="B2711">
        <v>2313004350</v>
      </c>
      <c r="C2711" t="str">
        <f>T("SSS급 마왕의 귀환 62화")</f>
        <v>SSS급 마왕의 귀환 62화</v>
      </c>
      <c r="D2711" t="str">
        <f>T("62")</f>
        <v>62</v>
      </c>
      <c r="E2711" t="str">
        <f t="shared" si="411"/>
        <v>구유</v>
      </c>
      <c r="H2711" t="str">
        <f t="shared" si="415"/>
        <v>스토리위즈</v>
      </c>
      <c r="I2711" t="str">
        <f t="shared" si="412"/>
        <v>SSS급 마왕의 귀환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T2711" t="str">
        <f t="shared" si="413"/>
        <v>9791159289057</v>
      </c>
      <c r="AV2711" t="str">
        <f t="shared" si="414"/>
        <v>판타지 웹소설 &gt; 퓨전 판타지</v>
      </c>
    </row>
    <row r="2712" spans="1:48" x14ac:dyDescent="0.4">
      <c r="A2712">
        <v>2313004289</v>
      </c>
      <c r="B2712">
        <v>2313004351</v>
      </c>
      <c r="C2712" t="str">
        <f>T("SSS급 마왕의 귀환 63화")</f>
        <v>SSS급 마왕의 귀환 63화</v>
      </c>
      <c r="D2712" t="str">
        <f>T("63")</f>
        <v>63</v>
      </c>
      <c r="E2712" t="str">
        <f t="shared" si="411"/>
        <v>구유</v>
      </c>
      <c r="H2712" t="str">
        <f t="shared" si="415"/>
        <v>스토리위즈</v>
      </c>
      <c r="I2712" t="str">
        <f t="shared" si="412"/>
        <v>SSS급 마왕의 귀환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T2712" t="str">
        <f t="shared" si="413"/>
        <v>9791159289057</v>
      </c>
      <c r="AV2712" t="str">
        <f t="shared" si="414"/>
        <v>판타지 웹소설 &gt; 퓨전 판타지</v>
      </c>
    </row>
    <row r="2713" spans="1:48" x14ac:dyDescent="0.4">
      <c r="A2713">
        <v>2313004289</v>
      </c>
      <c r="B2713">
        <v>2313004352</v>
      </c>
      <c r="C2713" t="str">
        <f>T("SSS급 마왕의 귀환 64화")</f>
        <v>SSS급 마왕의 귀환 64화</v>
      </c>
      <c r="D2713" t="str">
        <f>T("64")</f>
        <v>64</v>
      </c>
      <c r="E2713" t="str">
        <f t="shared" si="411"/>
        <v>구유</v>
      </c>
      <c r="H2713" t="str">
        <f t="shared" si="415"/>
        <v>스토리위즈</v>
      </c>
      <c r="I2713" t="str">
        <f t="shared" si="412"/>
        <v>SSS급 마왕의 귀환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T2713" t="str">
        <f t="shared" si="413"/>
        <v>9791159289057</v>
      </c>
      <c r="AV2713" t="str">
        <f t="shared" si="414"/>
        <v>판타지 웹소설 &gt; 퓨전 판타지</v>
      </c>
    </row>
    <row r="2714" spans="1:48" x14ac:dyDescent="0.4">
      <c r="A2714">
        <v>2313004289</v>
      </c>
      <c r="B2714">
        <v>2313004353</v>
      </c>
      <c r="C2714" t="str">
        <f>T("SSS급 마왕의 귀환 65화")</f>
        <v>SSS급 마왕의 귀환 65화</v>
      </c>
      <c r="D2714" t="str">
        <f>T("65")</f>
        <v>65</v>
      </c>
      <c r="E2714" t="str">
        <f t="shared" si="411"/>
        <v>구유</v>
      </c>
      <c r="H2714" t="str">
        <f t="shared" si="415"/>
        <v>스토리위즈</v>
      </c>
      <c r="I2714" t="str">
        <f t="shared" si="412"/>
        <v>SSS급 마왕의 귀환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T2714" t="str">
        <f t="shared" si="413"/>
        <v>9791159289057</v>
      </c>
      <c r="AV2714" t="str">
        <f t="shared" si="414"/>
        <v>판타지 웹소설 &gt; 퓨전 판타지</v>
      </c>
    </row>
    <row r="2715" spans="1:48" x14ac:dyDescent="0.4">
      <c r="A2715">
        <v>2313004289</v>
      </c>
      <c r="B2715">
        <v>2313004354</v>
      </c>
      <c r="C2715" t="str">
        <f>T("SSS급 마왕의 귀환 66화")</f>
        <v>SSS급 마왕의 귀환 66화</v>
      </c>
      <c r="D2715" t="str">
        <f>T("66")</f>
        <v>66</v>
      </c>
      <c r="E2715" t="str">
        <f t="shared" si="411"/>
        <v>구유</v>
      </c>
      <c r="H2715" t="str">
        <f t="shared" si="415"/>
        <v>스토리위즈</v>
      </c>
      <c r="I2715" t="str">
        <f t="shared" si="412"/>
        <v>SSS급 마왕의 귀환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T2715" t="str">
        <f t="shared" si="413"/>
        <v>9791159289057</v>
      </c>
      <c r="AV2715" t="str">
        <f t="shared" si="414"/>
        <v>판타지 웹소설 &gt; 퓨전 판타지</v>
      </c>
    </row>
    <row r="2716" spans="1:48" x14ac:dyDescent="0.4">
      <c r="A2716">
        <v>2313004289</v>
      </c>
      <c r="B2716">
        <v>2313004355</v>
      </c>
      <c r="C2716" t="str">
        <f>T("SSS급 마왕의 귀환 67화")</f>
        <v>SSS급 마왕의 귀환 67화</v>
      </c>
      <c r="D2716" t="str">
        <f>T("67")</f>
        <v>67</v>
      </c>
      <c r="E2716" t="str">
        <f t="shared" si="411"/>
        <v>구유</v>
      </c>
      <c r="H2716" t="str">
        <f t="shared" si="415"/>
        <v>스토리위즈</v>
      </c>
      <c r="I2716" t="str">
        <f t="shared" si="412"/>
        <v>SSS급 마왕의 귀환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T2716" t="str">
        <f t="shared" si="413"/>
        <v>9791159289057</v>
      </c>
      <c r="AV2716" t="str">
        <f t="shared" si="414"/>
        <v>판타지 웹소설 &gt; 퓨전 판타지</v>
      </c>
    </row>
    <row r="2717" spans="1:48" x14ac:dyDescent="0.4">
      <c r="A2717">
        <v>2313004289</v>
      </c>
      <c r="B2717">
        <v>2313004356</v>
      </c>
      <c r="C2717" t="str">
        <f>T("SSS급 마왕의 귀환 68화")</f>
        <v>SSS급 마왕의 귀환 68화</v>
      </c>
      <c r="D2717" t="str">
        <f>T("68")</f>
        <v>68</v>
      </c>
      <c r="E2717" t="str">
        <f t="shared" si="411"/>
        <v>구유</v>
      </c>
      <c r="H2717" t="str">
        <f t="shared" si="415"/>
        <v>스토리위즈</v>
      </c>
      <c r="I2717" t="str">
        <f t="shared" si="412"/>
        <v>SSS급 마왕의 귀환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T2717" t="str">
        <f t="shared" si="413"/>
        <v>9791159289057</v>
      </c>
      <c r="AV2717" t="str">
        <f t="shared" si="414"/>
        <v>판타지 웹소설 &gt; 퓨전 판타지</v>
      </c>
    </row>
    <row r="2718" spans="1:48" x14ac:dyDescent="0.4">
      <c r="A2718">
        <v>2313004289</v>
      </c>
      <c r="B2718">
        <v>2313004357</v>
      </c>
      <c r="C2718" t="str">
        <f>T("SSS급 마왕의 귀환 69화")</f>
        <v>SSS급 마왕의 귀환 69화</v>
      </c>
      <c r="D2718" t="str">
        <f>T("69")</f>
        <v>69</v>
      </c>
      <c r="E2718" t="str">
        <f t="shared" si="411"/>
        <v>구유</v>
      </c>
      <c r="H2718" t="str">
        <f t="shared" si="415"/>
        <v>스토리위즈</v>
      </c>
      <c r="I2718" t="str">
        <f t="shared" si="412"/>
        <v>SSS급 마왕의 귀환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T2718" t="str">
        <f t="shared" si="413"/>
        <v>9791159289057</v>
      </c>
      <c r="AV2718" t="str">
        <f t="shared" si="414"/>
        <v>판타지 웹소설 &gt; 퓨전 판타지</v>
      </c>
    </row>
    <row r="2719" spans="1:48" x14ac:dyDescent="0.4">
      <c r="A2719">
        <v>2313004289</v>
      </c>
      <c r="B2719">
        <v>2313004358</v>
      </c>
      <c r="C2719" t="str">
        <f>T("SSS급 마왕의 귀환 70화")</f>
        <v>SSS급 마왕의 귀환 70화</v>
      </c>
      <c r="D2719" t="str">
        <f>T("70")</f>
        <v>70</v>
      </c>
      <c r="E2719" t="str">
        <f t="shared" si="411"/>
        <v>구유</v>
      </c>
      <c r="H2719" t="str">
        <f t="shared" si="415"/>
        <v>스토리위즈</v>
      </c>
      <c r="I2719" t="str">
        <f t="shared" si="412"/>
        <v>SSS급 마왕의 귀환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T2719" t="str">
        <f t="shared" si="413"/>
        <v>9791159289057</v>
      </c>
      <c r="AV2719" t="str">
        <f t="shared" si="414"/>
        <v>판타지 웹소설 &gt; 퓨전 판타지</v>
      </c>
    </row>
    <row r="2720" spans="1:48" x14ac:dyDescent="0.4">
      <c r="A2720">
        <v>2313004289</v>
      </c>
      <c r="B2720">
        <v>2313004359</v>
      </c>
      <c r="C2720" t="str">
        <f>T("SSS급 마왕의 귀환 71화")</f>
        <v>SSS급 마왕의 귀환 71화</v>
      </c>
      <c r="D2720" t="str">
        <f>T("71")</f>
        <v>71</v>
      </c>
      <c r="E2720" t="str">
        <f t="shared" si="411"/>
        <v>구유</v>
      </c>
      <c r="H2720" t="str">
        <f t="shared" si="415"/>
        <v>스토리위즈</v>
      </c>
      <c r="I2720" t="str">
        <f t="shared" si="412"/>
        <v>SSS급 마왕의 귀환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T2720" t="str">
        <f t="shared" si="413"/>
        <v>9791159289057</v>
      </c>
      <c r="AV2720" t="str">
        <f t="shared" si="414"/>
        <v>판타지 웹소설 &gt; 퓨전 판타지</v>
      </c>
    </row>
    <row r="2721" spans="1:48" x14ac:dyDescent="0.4">
      <c r="A2721">
        <v>2313004289</v>
      </c>
      <c r="B2721">
        <v>2313004360</v>
      </c>
      <c r="C2721" t="str">
        <f>T("SSS급 마왕의 귀환 72화")</f>
        <v>SSS급 마왕의 귀환 72화</v>
      </c>
      <c r="D2721" t="str">
        <f>T("72")</f>
        <v>72</v>
      </c>
      <c r="E2721" t="str">
        <f t="shared" si="411"/>
        <v>구유</v>
      </c>
      <c r="H2721" t="str">
        <f t="shared" si="415"/>
        <v>스토리위즈</v>
      </c>
      <c r="I2721" t="str">
        <f t="shared" si="412"/>
        <v>SSS급 마왕의 귀환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T2721" t="str">
        <f t="shared" si="413"/>
        <v>9791159289057</v>
      </c>
      <c r="AV2721" t="str">
        <f t="shared" si="414"/>
        <v>판타지 웹소설 &gt; 퓨전 판타지</v>
      </c>
    </row>
    <row r="2722" spans="1:48" x14ac:dyDescent="0.4">
      <c r="A2722">
        <v>2313004289</v>
      </c>
      <c r="B2722">
        <v>2313004361</v>
      </c>
      <c r="C2722" t="str">
        <f>T("SSS급 마왕의 귀환 73화")</f>
        <v>SSS급 마왕의 귀환 73화</v>
      </c>
      <c r="D2722" t="str">
        <f>T("73")</f>
        <v>73</v>
      </c>
      <c r="E2722" t="str">
        <f t="shared" si="411"/>
        <v>구유</v>
      </c>
      <c r="H2722" t="str">
        <f t="shared" si="415"/>
        <v>스토리위즈</v>
      </c>
      <c r="I2722" t="str">
        <f t="shared" si="412"/>
        <v>SSS급 마왕의 귀환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70</v>
      </c>
      <c r="AT2722" t="str">
        <f t="shared" si="413"/>
        <v>9791159289057</v>
      </c>
      <c r="AV2722" t="str">
        <f t="shared" si="414"/>
        <v>판타지 웹소설 &gt; 퓨전 판타지</v>
      </c>
    </row>
    <row r="2723" spans="1:48" x14ac:dyDescent="0.4">
      <c r="A2723">
        <v>2313004289</v>
      </c>
      <c r="B2723">
        <v>2313004362</v>
      </c>
      <c r="C2723" t="str">
        <f>T("SSS급 마왕의 귀환 74화")</f>
        <v>SSS급 마왕의 귀환 74화</v>
      </c>
      <c r="D2723" t="str">
        <f>T("74")</f>
        <v>74</v>
      </c>
      <c r="E2723" t="str">
        <f t="shared" si="411"/>
        <v>구유</v>
      </c>
      <c r="H2723" t="str">
        <f t="shared" si="415"/>
        <v>스토리위즈</v>
      </c>
      <c r="I2723" t="str">
        <f t="shared" si="412"/>
        <v>SSS급 마왕의 귀환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70</v>
      </c>
      <c r="AT2723" t="str">
        <f t="shared" si="413"/>
        <v>9791159289057</v>
      </c>
      <c r="AV2723" t="str">
        <f t="shared" si="414"/>
        <v>판타지 웹소설 &gt; 퓨전 판타지</v>
      </c>
    </row>
    <row r="2724" spans="1:48" x14ac:dyDescent="0.4">
      <c r="A2724">
        <v>2313004289</v>
      </c>
      <c r="B2724">
        <v>2313004363</v>
      </c>
      <c r="C2724" t="str">
        <f>T("SSS급 마왕의 귀환 75화")</f>
        <v>SSS급 마왕의 귀환 75화</v>
      </c>
      <c r="D2724" t="str">
        <f>T("75")</f>
        <v>75</v>
      </c>
      <c r="E2724" t="str">
        <f t="shared" si="411"/>
        <v>구유</v>
      </c>
      <c r="H2724" t="str">
        <f t="shared" si="415"/>
        <v>스토리위즈</v>
      </c>
      <c r="I2724" t="str">
        <f t="shared" si="412"/>
        <v>SSS급 마왕의 귀환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70</v>
      </c>
      <c r="AT2724" t="str">
        <f t="shared" si="413"/>
        <v>9791159289057</v>
      </c>
      <c r="AV2724" t="str">
        <f t="shared" si="414"/>
        <v>판타지 웹소설 &gt; 퓨전 판타지</v>
      </c>
    </row>
    <row r="2725" spans="1:48" x14ac:dyDescent="0.4">
      <c r="A2725">
        <v>2313004289</v>
      </c>
      <c r="B2725">
        <v>2313004364</v>
      </c>
      <c r="C2725" t="str">
        <f>T("SSS급 마왕의 귀환 76화")</f>
        <v>SSS급 마왕의 귀환 76화</v>
      </c>
      <c r="D2725" t="str">
        <f>T("76")</f>
        <v>76</v>
      </c>
      <c r="E2725" t="str">
        <f t="shared" si="411"/>
        <v>구유</v>
      </c>
      <c r="H2725" t="str">
        <f t="shared" si="415"/>
        <v>스토리위즈</v>
      </c>
      <c r="I2725" t="str">
        <f t="shared" si="412"/>
        <v>SSS급 마왕의 귀환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70</v>
      </c>
      <c r="AT2725" t="str">
        <f t="shared" si="413"/>
        <v>9791159289057</v>
      </c>
      <c r="AV2725" t="str">
        <f t="shared" si="414"/>
        <v>판타지 웹소설 &gt; 퓨전 판타지</v>
      </c>
    </row>
    <row r="2726" spans="1:48" x14ac:dyDescent="0.4">
      <c r="A2726">
        <v>2313004289</v>
      </c>
      <c r="B2726">
        <v>2313004365</v>
      </c>
      <c r="C2726" t="str">
        <f>T("SSS급 마왕의 귀환 77화")</f>
        <v>SSS급 마왕의 귀환 77화</v>
      </c>
      <c r="D2726" t="str">
        <f>T("77")</f>
        <v>77</v>
      </c>
      <c r="E2726" t="str">
        <f t="shared" si="411"/>
        <v>구유</v>
      </c>
      <c r="H2726" t="str">
        <f t="shared" si="415"/>
        <v>스토리위즈</v>
      </c>
      <c r="I2726" t="str">
        <f t="shared" si="412"/>
        <v>SSS급 마왕의 귀환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70</v>
      </c>
      <c r="AT2726" t="str">
        <f t="shared" si="413"/>
        <v>9791159289057</v>
      </c>
      <c r="AV2726" t="str">
        <f t="shared" si="414"/>
        <v>판타지 웹소설 &gt; 퓨전 판타지</v>
      </c>
    </row>
    <row r="2727" spans="1:48" x14ac:dyDescent="0.4">
      <c r="A2727">
        <v>2313004289</v>
      </c>
      <c r="B2727">
        <v>2313004366</v>
      </c>
      <c r="C2727" t="str">
        <f>T("SSS급 마왕의 귀환 78화")</f>
        <v>SSS급 마왕의 귀환 78화</v>
      </c>
      <c r="D2727" t="str">
        <f>T("78")</f>
        <v>78</v>
      </c>
      <c r="E2727" t="str">
        <f t="shared" si="411"/>
        <v>구유</v>
      </c>
      <c r="H2727" t="str">
        <f t="shared" si="415"/>
        <v>스토리위즈</v>
      </c>
      <c r="I2727" t="str">
        <f t="shared" si="412"/>
        <v>SSS급 마왕의 귀환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70</v>
      </c>
      <c r="AT2727" t="str">
        <f t="shared" si="413"/>
        <v>9791159289057</v>
      </c>
      <c r="AV2727" t="str">
        <f t="shared" si="414"/>
        <v>판타지 웹소설 &gt; 퓨전 판타지</v>
      </c>
    </row>
    <row r="2728" spans="1:48" x14ac:dyDescent="0.4">
      <c r="A2728">
        <v>2313004289</v>
      </c>
      <c r="B2728">
        <v>2313004367</v>
      </c>
      <c r="C2728" t="str">
        <f>T("SSS급 마왕의 귀환 79화")</f>
        <v>SSS급 마왕의 귀환 79화</v>
      </c>
      <c r="D2728" t="str">
        <f>T("79")</f>
        <v>79</v>
      </c>
      <c r="E2728" t="str">
        <f t="shared" si="411"/>
        <v>구유</v>
      </c>
      <c r="H2728" t="str">
        <f t="shared" si="415"/>
        <v>스토리위즈</v>
      </c>
      <c r="I2728" t="str">
        <f t="shared" si="412"/>
        <v>SSS급 마왕의 귀환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70</v>
      </c>
      <c r="AT2728" t="str">
        <f t="shared" si="413"/>
        <v>9791159289057</v>
      </c>
      <c r="AV2728" t="str">
        <f t="shared" si="414"/>
        <v>판타지 웹소설 &gt; 퓨전 판타지</v>
      </c>
    </row>
    <row r="2729" spans="1:48" x14ac:dyDescent="0.4">
      <c r="A2729">
        <v>2313004289</v>
      </c>
      <c r="B2729">
        <v>2313004368</v>
      </c>
      <c r="C2729" t="str">
        <f>T("SSS급 마왕의 귀환 80화")</f>
        <v>SSS급 마왕의 귀환 80화</v>
      </c>
      <c r="D2729" t="str">
        <f>T("80")</f>
        <v>80</v>
      </c>
      <c r="E2729" t="str">
        <f t="shared" si="411"/>
        <v>구유</v>
      </c>
      <c r="H2729" t="str">
        <f t="shared" si="415"/>
        <v>스토리위즈</v>
      </c>
      <c r="I2729" t="str">
        <f t="shared" si="412"/>
        <v>SSS급 마왕의 귀환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70</v>
      </c>
      <c r="AT2729" t="str">
        <f t="shared" si="413"/>
        <v>9791159289057</v>
      </c>
      <c r="AV2729" t="str">
        <f t="shared" si="414"/>
        <v>판타지 웹소설 &gt; 퓨전 판타지</v>
      </c>
    </row>
    <row r="2730" spans="1:48" x14ac:dyDescent="0.4">
      <c r="A2730">
        <v>2313004289</v>
      </c>
      <c r="B2730">
        <v>2313004369</v>
      </c>
      <c r="C2730" t="str">
        <f>T("SSS급 마왕의 귀환 81화")</f>
        <v>SSS급 마왕의 귀환 81화</v>
      </c>
      <c r="D2730" t="str">
        <f>T("81")</f>
        <v>81</v>
      </c>
      <c r="E2730" t="str">
        <f t="shared" si="411"/>
        <v>구유</v>
      </c>
      <c r="H2730" t="str">
        <f t="shared" si="415"/>
        <v>스토리위즈</v>
      </c>
      <c r="I2730" t="str">
        <f t="shared" si="412"/>
        <v>SSS급 마왕의 귀환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70</v>
      </c>
      <c r="AT2730" t="str">
        <f t="shared" si="413"/>
        <v>9791159289057</v>
      </c>
      <c r="AV2730" t="str">
        <f t="shared" si="414"/>
        <v>판타지 웹소설 &gt; 퓨전 판타지</v>
      </c>
    </row>
    <row r="2731" spans="1:48" x14ac:dyDescent="0.4">
      <c r="A2731">
        <v>2313004289</v>
      </c>
      <c r="B2731">
        <v>2313004370</v>
      </c>
      <c r="C2731" t="str">
        <f>T("SSS급 마왕의 귀환 82화")</f>
        <v>SSS급 마왕의 귀환 82화</v>
      </c>
      <c r="D2731" t="str">
        <f>T("82")</f>
        <v>82</v>
      </c>
      <c r="E2731" t="str">
        <f t="shared" si="411"/>
        <v>구유</v>
      </c>
      <c r="H2731" t="str">
        <f t="shared" si="415"/>
        <v>스토리위즈</v>
      </c>
      <c r="I2731" t="str">
        <f t="shared" si="412"/>
        <v>SSS급 마왕의 귀환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70</v>
      </c>
      <c r="AT2731" t="str">
        <f t="shared" si="413"/>
        <v>9791159289057</v>
      </c>
      <c r="AV2731" t="str">
        <f t="shared" si="414"/>
        <v>판타지 웹소설 &gt; 퓨전 판타지</v>
      </c>
    </row>
    <row r="2732" spans="1:48" x14ac:dyDescent="0.4">
      <c r="A2732">
        <v>2313004289</v>
      </c>
      <c r="B2732">
        <v>2313004371</v>
      </c>
      <c r="C2732" t="str">
        <f>T("SSS급 마왕의 귀환 83화")</f>
        <v>SSS급 마왕의 귀환 83화</v>
      </c>
      <c r="D2732" t="str">
        <f>T("83")</f>
        <v>83</v>
      </c>
      <c r="E2732" t="str">
        <f t="shared" si="411"/>
        <v>구유</v>
      </c>
      <c r="H2732" t="str">
        <f t="shared" si="415"/>
        <v>스토리위즈</v>
      </c>
      <c r="I2732" t="str">
        <f t="shared" si="412"/>
        <v>SSS급 마왕의 귀환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70</v>
      </c>
      <c r="AT2732" t="str">
        <f t="shared" si="413"/>
        <v>9791159289057</v>
      </c>
      <c r="AV2732" t="str">
        <f t="shared" si="414"/>
        <v>판타지 웹소설 &gt; 퓨전 판타지</v>
      </c>
    </row>
    <row r="2733" spans="1:48" x14ac:dyDescent="0.4">
      <c r="A2733">
        <v>2313004289</v>
      </c>
      <c r="B2733">
        <v>2313004372</v>
      </c>
      <c r="C2733" t="str">
        <f>T("SSS급 마왕의 귀환 84화")</f>
        <v>SSS급 마왕의 귀환 84화</v>
      </c>
      <c r="D2733" t="str">
        <f>T("84")</f>
        <v>84</v>
      </c>
      <c r="E2733" t="str">
        <f t="shared" si="411"/>
        <v>구유</v>
      </c>
      <c r="H2733" t="str">
        <f t="shared" si="415"/>
        <v>스토리위즈</v>
      </c>
      <c r="I2733" t="str">
        <f t="shared" si="412"/>
        <v>SSS급 마왕의 귀환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70</v>
      </c>
      <c r="AT2733" t="str">
        <f t="shared" si="413"/>
        <v>9791159289057</v>
      </c>
      <c r="AV2733" t="str">
        <f t="shared" si="414"/>
        <v>판타지 웹소설 &gt; 퓨전 판타지</v>
      </c>
    </row>
    <row r="2734" spans="1:48" x14ac:dyDescent="0.4">
      <c r="A2734">
        <v>2313004289</v>
      </c>
      <c r="B2734">
        <v>2313004373</v>
      </c>
      <c r="C2734" t="str">
        <f>T("SSS급 마왕의 귀환 85화")</f>
        <v>SSS급 마왕의 귀환 85화</v>
      </c>
      <c r="D2734" t="str">
        <f>T("85")</f>
        <v>85</v>
      </c>
      <c r="E2734" t="str">
        <f t="shared" si="411"/>
        <v>구유</v>
      </c>
      <c r="H2734" t="str">
        <f t="shared" si="415"/>
        <v>스토리위즈</v>
      </c>
      <c r="I2734" t="str">
        <f t="shared" si="412"/>
        <v>SSS급 마왕의 귀환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70</v>
      </c>
      <c r="AT2734" t="str">
        <f t="shared" si="413"/>
        <v>9791159289057</v>
      </c>
      <c r="AV2734" t="str">
        <f t="shared" si="414"/>
        <v>판타지 웹소설 &gt; 퓨전 판타지</v>
      </c>
    </row>
    <row r="2735" spans="1:48" x14ac:dyDescent="0.4">
      <c r="A2735">
        <v>2313004289</v>
      </c>
      <c r="B2735">
        <v>2313004374</v>
      </c>
      <c r="C2735" t="str">
        <f>T("SSS급 마왕의 귀환 86화")</f>
        <v>SSS급 마왕의 귀환 86화</v>
      </c>
      <c r="D2735" t="str">
        <f>T("86")</f>
        <v>86</v>
      </c>
      <c r="E2735" t="str">
        <f t="shared" si="411"/>
        <v>구유</v>
      </c>
      <c r="H2735" t="str">
        <f t="shared" si="415"/>
        <v>스토리위즈</v>
      </c>
      <c r="I2735" t="str">
        <f t="shared" si="412"/>
        <v>SSS급 마왕의 귀환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T2735" t="str">
        <f t="shared" si="413"/>
        <v>9791159289057</v>
      </c>
      <c r="AV2735" t="str">
        <f t="shared" si="414"/>
        <v>판타지 웹소설 &gt; 퓨전 판타지</v>
      </c>
    </row>
    <row r="2736" spans="1:48" x14ac:dyDescent="0.4">
      <c r="A2736">
        <v>2313004289</v>
      </c>
      <c r="B2736">
        <v>2313004375</v>
      </c>
      <c r="C2736" t="str">
        <f>T("SSS급 마왕의 귀환 87화")</f>
        <v>SSS급 마왕의 귀환 87화</v>
      </c>
      <c r="D2736" t="str">
        <f>T("87")</f>
        <v>87</v>
      </c>
      <c r="E2736" t="str">
        <f t="shared" si="411"/>
        <v>구유</v>
      </c>
      <c r="H2736" t="str">
        <f t="shared" si="415"/>
        <v>스토리위즈</v>
      </c>
      <c r="I2736" t="str">
        <f t="shared" si="412"/>
        <v>SSS급 마왕의 귀환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T2736" t="str">
        <f t="shared" si="413"/>
        <v>9791159289057</v>
      </c>
      <c r="AV2736" t="str">
        <f t="shared" si="414"/>
        <v>판타지 웹소설 &gt; 퓨전 판타지</v>
      </c>
    </row>
    <row r="2737" spans="1:48" x14ac:dyDescent="0.4">
      <c r="A2737">
        <v>2313004289</v>
      </c>
      <c r="B2737">
        <v>2313004376</v>
      </c>
      <c r="C2737" t="str">
        <f>T("SSS급 마왕의 귀환 88화")</f>
        <v>SSS급 마왕의 귀환 88화</v>
      </c>
      <c r="D2737" t="str">
        <f>T("88")</f>
        <v>88</v>
      </c>
      <c r="E2737" t="str">
        <f t="shared" si="411"/>
        <v>구유</v>
      </c>
      <c r="H2737" t="str">
        <f t="shared" si="415"/>
        <v>스토리위즈</v>
      </c>
      <c r="I2737" t="str">
        <f t="shared" si="412"/>
        <v>SSS급 마왕의 귀환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T2737" t="str">
        <f t="shared" si="413"/>
        <v>9791159289057</v>
      </c>
      <c r="AV2737" t="str">
        <f t="shared" si="414"/>
        <v>판타지 웹소설 &gt; 퓨전 판타지</v>
      </c>
    </row>
    <row r="2738" spans="1:48" x14ac:dyDescent="0.4">
      <c r="A2738">
        <v>2313004289</v>
      </c>
      <c r="B2738">
        <v>2313004377</v>
      </c>
      <c r="C2738" t="str">
        <f>T("SSS급 마왕의 귀환 89화")</f>
        <v>SSS급 마왕의 귀환 89화</v>
      </c>
      <c r="D2738" t="str">
        <f>T("89")</f>
        <v>89</v>
      </c>
      <c r="E2738" t="str">
        <f t="shared" si="411"/>
        <v>구유</v>
      </c>
      <c r="H2738" t="str">
        <f t="shared" si="415"/>
        <v>스토리위즈</v>
      </c>
      <c r="I2738" t="str">
        <f t="shared" si="412"/>
        <v>SSS급 마왕의 귀환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T2738" t="str">
        <f t="shared" si="413"/>
        <v>9791159289057</v>
      </c>
      <c r="AV2738" t="str">
        <f t="shared" si="414"/>
        <v>판타지 웹소설 &gt; 퓨전 판타지</v>
      </c>
    </row>
    <row r="2739" spans="1:48" x14ac:dyDescent="0.4">
      <c r="A2739">
        <v>2313004289</v>
      </c>
      <c r="B2739">
        <v>2313004378</v>
      </c>
      <c r="C2739" t="str">
        <f>T("SSS급 마왕의 귀환 90화")</f>
        <v>SSS급 마왕의 귀환 90화</v>
      </c>
      <c r="D2739" t="str">
        <f>T("90")</f>
        <v>90</v>
      </c>
      <c r="E2739" t="str">
        <f t="shared" ref="E2739:E2789" si="416">T("구유")</f>
        <v>구유</v>
      </c>
      <c r="H2739" t="str">
        <f t="shared" si="415"/>
        <v>스토리위즈</v>
      </c>
      <c r="I2739" t="str">
        <f t="shared" ref="I2739:I2789" si="417">T("SSS급 마왕의 귀환")</f>
        <v>SSS급 마왕의 귀환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T2739" t="str">
        <f t="shared" ref="AT2739:AT2789" si="418">T("9791159289057")</f>
        <v>9791159289057</v>
      </c>
      <c r="AV2739" t="str">
        <f t="shared" ref="AV2739:AV2796" si="419">T("판타지 웹소설 &gt; 퓨전 판타지")</f>
        <v>판타지 웹소설 &gt; 퓨전 판타지</v>
      </c>
    </row>
    <row r="2740" spans="1:48" x14ac:dyDescent="0.4">
      <c r="A2740">
        <v>2313004289</v>
      </c>
      <c r="B2740">
        <v>2313004379</v>
      </c>
      <c r="C2740" t="str">
        <f>T("SSS급 마왕의 귀환 91화")</f>
        <v>SSS급 마왕의 귀환 91화</v>
      </c>
      <c r="D2740" t="str">
        <f>T("91")</f>
        <v>91</v>
      </c>
      <c r="E2740" t="str">
        <f t="shared" si="416"/>
        <v>구유</v>
      </c>
      <c r="H2740" t="str">
        <f t="shared" si="415"/>
        <v>스토리위즈</v>
      </c>
      <c r="I2740" t="str">
        <f t="shared" si="417"/>
        <v>SSS급 마왕의 귀환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T2740" t="str">
        <f t="shared" si="418"/>
        <v>9791159289057</v>
      </c>
      <c r="AV2740" t="str">
        <f t="shared" si="419"/>
        <v>판타지 웹소설 &gt; 퓨전 판타지</v>
      </c>
    </row>
    <row r="2741" spans="1:48" x14ac:dyDescent="0.4">
      <c r="A2741">
        <v>2313004289</v>
      </c>
      <c r="B2741">
        <v>2313004380</v>
      </c>
      <c r="C2741" t="str">
        <f>T("SSS급 마왕의 귀환 92화")</f>
        <v>SSS급 마왕의 귀환 92화</v>
      </c>
      <c r="D2741" t="str">
        <f>T("92")</f>
        <v>92</v>
      </c>
      <c r="E2741" t="str">
        <f t="shared" si="416"/>
        <v>구유</v>
      </c>
      <c r="H2741" t="str">
        <f t="shared" si="415"/>
        <v>스토리위즈</v>
      </c>
      <c r="I2741" t="str">
        <f t="shared" si="417"/>
        <v>SSS급 마왕의 귀환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T2741" t="str">
        <f t="shared" si="418"/>
        <v>9791159289057</v>
      </c>
      <c r="AV2741" t="str">
        <f t="shared" si="419"/>
        <v>판타지 웹소설 &gt; 퓨전 판타지</v>
      </c>
    </row>
    <row r="2742" spans="1:48" x14ac:dyDescent="0.4">
      <c r="A2742">
        <v>2313004289</v>
      </c>
      <c r="B2742">
        <v>2313004381</v>
      </c>
      <c r="C2742" t="str">
        <f>T("SSS급 마왕의 귀환 93화")</f>
        <v>SSS급 마왕의 귀환 93화</v>
      </c>
      <c r="D2742" t="str">
        <f>T("93")</f>
        <v>93</v>
      </c>
      <c r="E2742" t="str">
        <f t="shared" si="416"/>
        <v>구유</v>
      </c>
      <c r="H2742" t="str">
        <f t="shared" si="415"/>
        <v>스토리위즈</v>
      </c>
      <c r="I2742" t="str">
        <f t="shared" si="417"/>
        <v>SSS급 마왕의 귀환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T2742" t="str">
        <f t="shared" si="418"/>
        <v>9791159289057</v>
      </c>
      <c r="AV2742" t="str">
        <f t="shared" si="419"/>
        <v>판타지 웹소설 &gt; 퓨전 판타지</v>
      </c>
    </row>
    <row r="2743" spans="1:48" x14ac:dyDescent="0.4">
      <c r="A2743">
        <v>2313004289</v>
      </c>
      <c r="B2743">
        <v>2313004382</v>
      </c>
      <c r="C2743" t="str">
        <f>T("SSS급 마왕의 귀환 94화")</f>
        <v>SSS급 마왕의 귀환 94화</v>
      </c>
      <c r="D2743" t="str">
        <f>T("94")</f>
        <v>94</v>
      </c>
      <c r="E2743" t="str">
        <f t="shared" si="416"/>
        <v>구유</v>
      </c>
      <c r="H2743" t="str">
        <f t="shared" si="415"/>
        <v>스토리위즈</v>
      </c>
      <c r="I2743" t="str">
        <f t="shared" si="417"/>
        <v>SSS급 마왕의 귀환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T2743" t="str">
        <f t="shared" si="418"/>
        <v>9791159289057</v>
      </c>
      <c r="AV2743" t="str">
        <f t="shared" si="419"/>
        <v>판타지 웹소설 &gt; 퓨전 판타지</v>
      </c>
    </row>
    <row r="2744" spans="1:48" x14ac:dyDescent="0.4">
      <c r="A2744">
        <v>2313004289</v>
      </c>
      <c r="B2744">
        <v>2313004383</v>
      </c>
      <c r="C2744" t="str">
        <f>T("SSS급 마왕의 귀환 95화")</f>
        <v>SSS급 마왕의 귀환 95화</v>
      </c>
      <c r="D2744" t="str">
        <f>T("95")</f>
        <v>95</v>
      </c>
      <c r="E2744" t="str">
        <f t="shared" si="416"/>
        <v>구유</v>
      </c>
      <c r="H2744" t="str">
        <f t="shared" si="415"/>
        <v>스토리위즈</v>
      </c>
      <c r="I2744" t="str">
        <f t="shared" si="417"/>
        <v>SSS급 마왕의 귀환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T2744" t="str">
        <f t="shared" si="418"/>
        <v>9791159289057</v>
      </c>
      <c r="AV2744" t="str">
        <f t="shared" si="419"/>
        <v>판타지 웹소설 &gt; 퓨전 판타지</v>
      </c>
    </row>
    <row r="2745" spans="1:48" x14ac:dyDescent="0.4">
      <c r="A2745">
        <v>2313004289</v>
      </c>
      <c r="B2745">
        <v>2313004384</v>
      </c>
      <c r="C2745" t="str">
        <f>T("SSS급 마왕의 귀환 96화")</f>
        <v>SSS급 마왕의 귀환 96화</v>
      </c>
      <c r="D2745" t="str">
        <f>T("96")</f>
        <v>96</v>
      </c>
      <c r="E2745" t="str">
        <f t="shared" si="416"/>
        <v>구유</v>
      </c>
      <c r="H2745" t="str">
        <f t="shared" ref="H2745:H2808" si="420">T("스토리위즈")</f>
        <v>스토리위즈</v>
      </c>
      <c r="I2745" t="str">
        <f t="shared" si="417"/>
        <v>SSS급 마왕의 귀환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T2745" t="str">
        <f t="shared" si="418"/>
        <v>9791159289057</v>
      </c>
      <c r="AV2745" t="str">
        <f t="shared" si="419"/>
        <v>판타지 웹소설 &gt; 퓨전 판타지</v>
      </c>
    </row>
    <row r="2746" spans="1:48" x14ac:dyDescent="0.4">
      <c r="A2746">
        <v>2313004289</v>
      </c>
      <c r="B2746">
        <v>2313004385</v>
      </c>
      <c r="C2746" t="str">
        <f>T("SSS급 마왕의 귀환 97화")</f>
        <v>SSS급 마왕의 귀환 97화</v>
      </c>
      <c r="D2746" t="str">
        <f>T("97")</f>
        <v>97</v>
      </c>
      <c r="E2746" t="str">
        <f t="shared" si="416"/>
        <v>구유</v>
      </c>
      <c r="H2746" t="str">
        <f t="shared" si="420"/>
        <v>스토리위즈</v>
      </c>
      <c r="I2746" t="str">
        <f t="shared" si="417"/>
        <v>SSS급 마왕의 귀환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T2746" t="str">
        <f t="shared" si="418"/>
        <v>9791159289057</v>
      </c>
      <c r="AV2746" t="str">
        <f t="shared" si="419"/>
        <v>판타지 웹소설 &gt; 퓨전 판타지</v>
      </c>
    </row>
    <row r="2747" spans="1:48" x14ac:dyDescent="0.4">
      <c r="A2747">
        <v>2313004289</v>
      </c>
      <c r="B2747">
        <v>2313004386</v>
      </c>
      <c r="C2747" t="str">
        <f>T("SSS급 마왕의 귀환 98화")</f>
        <v>SSS급 마왕의 귀환 98화</v>
      </c>
      <c r="D2747" t="str">
        <f>T("98")</f>
        <v>98</v>
      </c>
      <c r="E2747" t="str">
        <f t="shared" si="416"/>
        <v>구유</v>
      </c>
      <c r="H2747" t="str">
        <f t="shared" si="420"/>
        <v>스토리위즈</v>
      </c>
      <c r="I2747" t="str">
        <f t="shared" si="417"/>
        <v>SSS급 마왕의 귀환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T2747" t="str">
        <f t="shared" si="418"/>
        <v>9791159289057</v>
      </c>
      <c r="AV2747" t="str">
        <f t="shared" si="419"/>
        <v>판타지 웹소설 &gt; 퓨전 판타지</v>
      </c>
    </row>
    <row r="2748" spans="1:48" x14ac:dyDescent="0.4">
      <c r="A2748">
        <v>2313004289</v>
      </c>
      <c r="B2748">
        <v>2313004387</v>
      </c>
      <c r="C2748" t="str">
        <f>T("SSS급 마왕의 귀환 99화")</f>
        <v>SSS급 마왕의 귀환 99화</v>
      </c>
      <c r="D2748" t="str">
        <f>T("99")</f>
        <v>99</v>
      </c>
      <c r="E2748" t="str">
        <f t="shared" si="416"/>
        <v>구유</v>
      </c>
      <c r="H2748" t="str">
        <f t="shared" si="420"/>
        <v>스토리위즈</v>
      </c>
      <c r="I2748" t="str">
        <f t="shared" si="417"/>
        <v>SSS급 마왕의 귀환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T2748" t="str">
        <f t="shared" si="418"/>
        <v>9791159289057</v>
      </c>
      <c r="AV2748" t="str">
        <f t="shared" si="419"/>
        <v>판타지 웹소설 &gt; 퓨전 판타지</v>
      </c>
    </row>
    <row r="2749" spans="1:48" x14ac:dyDescent="0.4">
      <c r="A2749">
        <v>2313004289</v>
      </c>
      <c r="B2749">
        <v>2313004388</v>
      </c>
      <c r="C2749" t="str">
        <f>T("SSS급 마왕의 귀환 100화")</f>
        <v>SSS급 마왕의 귀환 100화</v>
      </c>
      <c r="D2749" t="str">
        <f>T("100")</f>
        <v>100</v>
      </c>
      <c r="E2749" t="str">
        <f t="shared" si="416"/>
        <v>구유</v>
      </c>
      <c r="H2749" t="str">
        <f t="shared" si="420"/>
        <v>스토리위즈</v>
      </c>
      <c r="I2749" t="str">
        <f t="shared" si="417"/>
        <v>SSS급 마왕의 귀환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T2749" t="str">
        <f t="shared" si="418"/>
        <v>9791159289057</v>
      </c>
      <c r="AV2749" t="str">
        <f t="shared" si="419"/>
        <v>판타지 웹소설 &gt; 퓨전 판타지</v>
      </c>
    </row>
    <row r="2750" spans="1:48" x14ac:dyDescent="0.4">
      <c r="A2750">
        <v>2313004289</v>
      </c>
      <c r="B2750">
        <v>2313004389</v>
      </c>
      <c r="C2750" t="str">
        <f>T("SSS급 마왕의 귀환 101화")</f>
        <v>SSS급 마왕의 귀환 101화</v>
      </c>
      <c r="D2750" t="str">
        <f>T("101")</f>
        <v>101</v>
      </c>
      <c r="E2750" t="str">
        <f t="shared" si="416"/>
        <v>구유</v>
      </c>
      <c r="H2750" t="str">
        <f t="shared" si="420"/>
        <v>스토리위즈</v>
      </c>
      <c r="I2750" t="str">
        <f t="shared" si="417"/>
        <v>SSS급 마왕의 귀환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T2750" t="str">
        <f t="shared" si="418"/>
        <v>9791159289057</v>
      </c>
      <c r="AV2750" t="str">
        <f t="shared" si="419"/>
        <v>판타지 웹소설 &gt; 퓨전 판타지</v>
      </c>
    </row>
    <row r="2751" spans="1:48" x14ac:dyDescent="0.4">
      <c r="A2751">
        <v>2313004289</v>
      </c>
      <c r="B2751">
        <v>2313004390</v>
      </c>
      <c r="C2751" t="str">
        <f>T("SSS급 마왕의 귀환 102화")</f>
        <v>SSS급 마왕의 귀환 102화</v>
      </c>
      <c r="D2751" t="str">
        <f>T("102")</f>
        <v>102</v>
      </c>
      <c r="E2751" t="str">
        <f t="shared" si="416"/>
        <v>구유</v>
      </c>
      <c r="H2751" t="str">
        <f t="shared" si="420"/>
        <v>스토리위즈</v>
      </c>
      <c r="I2751" t="str">
        <f t="shared" si="417"/>
        <v>SSS급 마왕의 귀환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T2751" t="str">
        <f t="shared" si="418"/>
        <v>9791159289057</v>
      </c>
      <c r="AV2751" t="str">
        <f t="shared" si="419"/>
        <v>판타지 웹소설 &gt; 퓨전 판타지</v>
      </c>
    </row>
    <row r="2752" spans="1:48" x14ac:dyDescent="0.4">
      <c r="A2752">
        <v>2313004289</v>
      </c>
      <c r="B2752">
        <v>2313004391</v>
      </c>
      <c r="C2752" t="str">
        <f>T("SSS급 마왕의 귀환 103화")</f>
        <v>SSS급 마왕의 귀환 103화</v>
      </c>
      <c r="D2752" t="str">
        <f>T("103")</f>
        <v>103</v>
      </c>
      <c r="E2752" t="str">
        <f t="shared" si="416"/>
        <v>구유</v>
      </c>
      <c r="H2752" t="str">
        <f t="shared" si="420"/>
        <v>스토리위즈</v>
      </c>
      <c r="I2752" t="str">
        <f t="shared" si="417"/>
        <v>SSS급 마왕의 귀환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T2752" t="str">
        <f t="shared" si="418"/>
        <v>9791159289057</v>
      </c>
      <c r="AV2752" t="str">
        <f t="shared" si="419"/>
        <v>판타지 웹소설 &gt; 퓨전 판타지</v>
      </c>
    </row>
    <row r="2753" spans="1:48" x14ac:dyDescent="0.4">
      <c r="A2753">
        <v>2313004289</v>
      </c>
      <c r="B2753">
        <v>2313004392</v>
      </c>
      <c r="C2753" t="str">
        <f>T("SSS급 마왕의 귀환 104화")</f>
        <v>SSS급 마왕의 귀환 104화</v>
      </c>
      <c r="D2753" t="str">
        <f>T("104")</f>
        <v>104</v>
      </c>
      <c r="E2753" t="str">
        <f t="shared" si="416"/>
        <v>구유</v>
      </c>
      <c r="H2753" t="str">
        <f t="shared" si="420"/>
        <v>스토리위즈</v>
      </c>
      <c r="I2753" t="str">
        <f t="shared" si="417"/>
        <v>SSS급 마왕의 귀환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T2753" t="str">
        <f t="shared" si="418"/>
        <v>9791159289057</v>
      </c>
      <c r="AV2753" t="str">
        <f t="shared" si="419"/>
        <v>판타지 웹소설 &gt; 퓨전 판타지</v>
      </c>
    </row>
    <row r="2754" spans="1:48" x14ac:dyDescent="0.4">
      <c r="A2754">
        <v>2313004289</v>
      </c>
      <c r="B2754">
        <v>2313004393</v>
      </c>
      <c r="C2754" t="str">
        <f>T("SSS급 마왕의 귀환 105화")</f>
        <v>SSS급 마왕의 귀환 105화</v>
      </c>
      <c r="D2754" t="str">
        <f>T("105")</f>
        <v>105</v>
      </c>
      <c r="E2754" t="str">
        <f t="shared" si="416"/>
        <v>구유</v>
      </c>
      <c r="H2754" t="str">
        <f t="shared" si="420"/>
        <v>스토리위즈</v>
      </c>
      <c r="I2754" t="str">
        <f t="shared" si="417"/>
        <v>SSS급 마왕의 귀환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T2754" t="str">
        <f t="shared" si="418"/>
        <v>9791159289057</v>
      </c>
      <c r="AV2754" t="str">
        <f t="shared" si="419"/>
        <v>판타지 웹소설 &gt; 퓨전 판타지</v>
      </c>
    </row>
    <row r="2755" spans="1:48" x14ac:dyDescent="0.4">
      <c r="A2755">
        <v>2313004289</v>
      </c>
      <c r="B2755">
        <v>2313004394</v>
      </c>
      <c r="C2755" t="str">
        <f>T("SSS급 마왕의 귀환 106화")</f>
        <v>SSS급 마왕의 귀환 106화</v>
      </c>
      <c r="D2755" t="str">
        <f>T("106")</f>
        <v>106</v>
      </c>
      <c r="E2755" t="str">
        <f t="shared" si="416"/>
        <v>구유</v>
      </c>
      <c r="H2755" t="str">
        <f t="shared" si="420"/>
        <v>스토리위즈</v>
      </c>
      <c r="I2755" t="str">
        <f t="shared" si="417"/>
        <v>SSS급 마왕의 귀환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T2755" t="str">
        <f t="shared" si="418"/>
        <v>9791159289057</v>
      </c>
      <c r="AV2755" t="str">
        <f t="shared" si="419"/>
        <v>판타지 웹소설 &gt; 퓨전 판타지</v>
      </c>
    </row>
    <row r="2756" spans="1:48" x14ac:dyDescent="0.4">
      <c r="A2756">
        <v>2313004289</v>
      </c>
      <c r="B2756">
        <v>2313004395</v>
      </c>
      <c r="C2756" t="str">
        <f>T("SSS급 마왕의 귀환 107화")</f>
        <v>SSS급 마왕의 귀환 107화</v>
      </c>
      <c r="D2756" t="str">
        <f>T("107")</f>
        <v>107</v>
      </c>
      <c r="E2756" t="str">
        <f t="shared" si="416"/>
        <v>구유</v>
      </c>
      <c r="H2756" t="str">
        <f t="shared" si="420"/>
        <v>스토리위즈</v>
      </c>
      <c r="I2756" t="str">
        <f t="shared" si="417"/>
        <v>SSS급 마왕의 귀환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418"/>
        <v>9791159289057</v>
      </c>
      <c r="AV2756" t="str">
        <f t="shared" si="419"/>
        <v>판타지 웹소설 &gt; 퓨전 판타지</v>
      </c>
    </row>
    <row r="2757" spans="1:48" x14ac:dyDescent="0.4">
      <c r="A2757">
        <v>2313004289</v>
      </c>
      <c r="B2757">
        <v>2313004396</v>
      </c>
      <c r="C2757" t="str">
        <f>T("SSS급 마왕의 귀환 108화")</f>
        <v>SSS급 마왕의 귀환 108화</v>
      </c>
      <c r="D2757" t="str">
        <f>T("108")</f>
        <v>108</v>
      </c>
      <c r="E2757" t="str">
        <f t="shared" si="416"/>
        <v>구유</v>
      </c>
      <c r="H2757" t="str">
        <f t="shared" si="420"/>
        <v>스토리위즈</v>
      </c>
      <c r="I2757" t="str">
        <f t="shared" si="417"/>
        <v>SSS급 마왕의 귀환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418"/>
        <v>9791159289057</v>
      </c>
      <c r="AV2757" t="str">
        <f t="shared" si="419"/>
        <v>판타지 웹소설 &gt; 퓨전 판타지</v>
      </c>
    </row>
    <row r="2758" spans="1:48" x14ac:dyDescent="0.4">
      <c r="A2758">
        <v>2313004289</v>
      </c>
      <c r="B2758">
        <v>2313004397</v>
      </c>
      <c r="C2758" t="str">
        <f>T("SSS급 마왕의 귀환 109화")</f>
        <v>SSS급 마왕의 귀환 109화</v>
      </c>
      <c r="D2758" t="str">
        <f>T("109")</f>
        <v>109</v>
      </c>
      <c r="E2758" t="str">
        <f t="shared" si="416"/>
        <v>구유</v>
      </c>
      <c r="H2758" t="str">
        <f t="shared" si="420"/>
        <v>스토리위즈</v>
      </c>
      <c r="I2758" t="str">
        <f t="shared" si="417"/>
        <v>SSS급 마왕의 귀환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418"/>
        <v>9791159289057</v>
      </c>
      <c r="AV2758" t="str">
        <f t="shared" si="419"/>
        <v>판타지 웹소설 &gt; 퓨전 판타지</v>
      </c>
    </row>
    <row r="2759" spans="1:48" x14ac:dyDescent="0.4">
      <c r="A2759">
        <v>2313004289</v>
      </c>
      <c r="B2759">
        <v>2313004398</v>
      </c>
      <c r="C2759" t="str">
        <f>T("SSS급 마왕의 귀환 110화")</f>
        <v>SSS급 마왕의 귀환 110화</v>
      </c>
      <c r="D2759" t="str">
        <f>T("110")</f>
        <v>110</v>
      </c>
      <c r="E2759" t="str">
        <f t="shared" si="416"/>
        <v>구유</v>
      </c>
      <c r="H2759" t="str">
        <f t="shared" si="420"/>
        <v>스토리위즈</v>
      </c>
      <c r="I2759" t="str">
        <f t="shared" si="417"/>
        <v>SSS급 마왕의 귀환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418"/>
        <v>9791159289057</v>
      </c>
      <c r="AV2759" t="str">
        <f t="shared" si="419"/>
        <v>판타지 웹소설 &gt; 퓨전 판타지</v>
      </c>
    </row>
    <row r="2760" spans="1:48" x14ac:dyDescent="0.4">
      <c r="A2760">
        <v>2313004289</v>
      </c>
      <c r="B2760">
        <v>2313004399</v>
      </c>
      <c r="C2760" t="str">
        <f>T("SSS급 마왕의 귀환 111화")</f>
        <v>SSS급 마왕의 귀환 111화</v>
      </c>
      <c r="D2760" t="str">
        <f>T("111")</f>
        <v>111</v>
      </c>
      <c r="E2760" t="str">
        <f t="shared" si="416"/>
        <v>구유</v>
      </c>
      <c r="H2760" t="str">
        <f t="shared" si="420"/>
        <v>스토리위즈</v>
      </c>
      <c r="I2760" t="str">
        <f t="shared" si="417"/>
        <v>SSS급 마왕의 귀환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418"/>
        <v>9791159289057</v>
      </c>
      <c r="AV2760" t="str">
        <f t="shared" si="419"/>
        <v>판타지 웹소설 &gt; 퓨전 판타지</v>
      </c>
    </row>
    <row r="2761" spans="1:48" x14ac:dyDescent="0.4">
      <c r="A2761">
        <v>2313004289</v>
      </c>
      <c r="B2761">
        <v>2313004400</v>
      </c>
      <c r="C2761" t="str">
        <f>T("SSS급 마왕의 귀환 112화")</f>
        <v>SSS급 마왕의 귀환 112화</v>
      </c>
      <c r="D2761" t="str">
        <f>T("112")</f>
        <v>112</v>
      </c>
      <c r="E2761" t="str">
        <f t="shared" si="416"/>
        <v>구유</v>
      </c>
      <c r="H2761" t="str">
        <f t="shared" si="420"/>
        <v>스토리위즈</v>
      </c>
      <c r="I2761" t="str">
        <f t="shared" si="417"/>
        <v>SSS급 마왕의 귀환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 t="shared" si="418"/>
        <v>9791159289057</v>
      </c>
      <c r="AV2761" t="str">
        <f t="shared" si="419"/>
        <v>판타지 웹소설 &gt; 퓨전 판타지</v>
      </c>
    </row>
    <row r="2762" spans="1:48" x14ac:dyDescent="0.4">
      <c r="A2762">
        <v>2313004289</v>
      </c>
      <c r="B2762">
        <v>2313004401</v>
      </c>
      <c r="C2762" t="str">
        <f>T("SSS급 마왕의 귀환 113화")</f>
        <v>SSS급 마왕의 귀환 113화</v>
      </c>
      <c r="D2762" t="str">
        <f>T("113")</f>
        <v>113</v>
      </c>
      <c r="E2762" t="str">
        <f t="shared" si="416"/>
        <v>구유</v>
      </c>
      <c r="H2762" t="str">
        <f t="shared" si="420"/>
        <v>스토리위즈</v>
      </c>
      <c r="I2762" t="str">
        <f t="shared" si="417"/>
        <v>SSS급 마왕의 귀환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 t="shared" si="418"/>
        <v>9791159289057</v>
      </c>
      <c r="AV2762" t="str">
        <f t="shared" si="419"/>
        <v>판타지 웹소설 &gt; 퓨전 판타지</v>
      </c>
    </row>
    <row r="2763" spans="1:48" x14ac:dyDescent="0.4">
      <c r="A2763">
        <v>2313004289</v>
      </c>
      <c r="B2763">
        <v>2313004402</v>
      </c>
      <c r="C2763" t="str">
        <f>T("SSS급 마왕의 귀환 114화")</f>
        <v>SSS급 마왕의 귀환 114화</v>
      </c>
      <c r="D2763" t="str">
        <f>T("114")</f>
        <v>114</v>
      </c>
      <c r="E2763" t="str">
        <f t="shared" si="416"/>
        <v>구유</v>
      </c>
      <c r="H2763" t="str">
        <f t="shared" si="420"/>
        <v>스토리위즈</v>
      </c>
      <c r="I2763" t="str">
        <f t="shared" si="417"/>
        <v>SSS급 마왕의 귀환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T2763" t="str">
        <f t="shared" si="418"/>
        <v>9791159289057</v>
      </c>
      <c r="AV2763" t="str">
        <f t="shared" si="419"/>
        <v>판타지 웹소설 &gt; 퓨전 판타지</v>
      </c>
    </row>
    <row r="2764" spans="1:48" x14ac:dyDescent="0.4">
      <c r="A2764">
        <v>2313004289</v>
      </c>
      <c r="B2764">
        <v>2313004403</v>
      </c>
      <c r="C2764" t="str">
        <f>T("SSS급 마왕의 귀환 115화")</f>
        <v>SSS급 마왕의 귀환 115화</v>
      </c>
      <c r="D2764" t="str">
        <f>T("115")</f>
        <v>115</v>
      </c>
      <c r="E2764" t="str">
        <f t="shared" si="416"/>
        <v>구유</v>
      </c>
      <c r="H2764" t="str">
        <f t="shared" si="420"/>
        <v>스토리위즈</v>
      </c>
      <c r="I2764" t="str">
        <f t="shared" si="417"/>
        <v>SSS급 마왕의 귀환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T2764" t="str">
        <f t="shared" si="418"/>
        <v>9791159289057</v>
      </c>
      <c r="AV2764" t="str">
        <f t="shared" si="419"/>
        <v>판타지 웹소설 &gt; 퓨전 판타지</v>
      </c>
    </row>
    <row r="2765" spans="1:48" x14ac:dyDescent="0.4">
      <c r="A2765">
        <v>2313004289</v>
      </c>
      <c r="B2765">
        <v>2313004404</v>
      </c>
      <c r="C2765" t="str">
        <f>T("SSS급 마왕의 귀환 116화")</f>
        <v>SSS급 마왕의 귀환 116화</v>
      </c>
      <c r="D2765" t="str">
        <f>T("116")</f>
        <v>116</v>
      </c>
      <c r="E2765" t="str">
        <f t="shared" si="416"/>
        <v>구유</v>
      </c>
      <c r="H2765" t="str">
        <f t="shared" si="420"/>
        <v>스토리위즈</v>
      </c>
      <c r="I2765" t="str">
        <f t="shared" si="417"/>
        <v>SSS급 마왕의 귀환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T2765" t="str">
        <f t="shared" si="418"/>
        <v>9791159289057</v>
      </c>
      <c r="AV2765" t="str">
        <f t="shared" si="419"/>
        <v>판타지 웹소설 &gt; 퓨전 판타지</v>
      </c>
    </row>
    <row r="2766" spans="1:48" x14ac:dyDescent="0.4">
      <c r="A2766">
        <v>2313004289</v>
      </c>
      <c r="B2766">
        <v>2313004405</v>
      </c>
      <c r="C2766" t="str">
        <f>T("SSS급 마왕의 귀환 117화")</f>
        <v>SSS급 마왕의 귀환 117화</v>
      </c>
      <c r="D2766" t="str">
        <f>T("117")</f>
        <v>117</v>
      </c>
      <c r="E2766" t="str">
        <f t="shared" si="416"/>
        <v>구유</v>
      </c>
      <c r="H2766" t="str">
        <f t="shared" si="420"/>
        <v>스토리위즈</v>
      </c>
      <c r="I2766" t="str">
        <f t="shared" si="417"/>
        <v>SSS급 마왕의 귀환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T2766" t="str">
        <f t="shared" si="418"/>
        <v>9791159289057</v>
      </c>
      <c r="AV2766" t="str">
        <f t="shared" si="419"/>
        <v>판타지 웹소설 &gt; 퓨전 판타지</v>
      </c>
    </row>
    <row r="2767" spans="1:48" x14ac:dyDescent="0.4">
      <c r="A2767">
        <v>2313004289</v>
      </c>
      <c r="B2767">
        <v>2313004406</v>
      </c>
      <c r="C2767" t="str">
        <f>T("SSS급 마왕의 귀환 118화")</f>
        <v>SSS급 마왕의 귀환 118화</v>
      </c>
      <c r="D2767" t="str">
        <f>T("118")</f>
        <v>118</v>
      </c>
      <c r="E2767" t="str">
        <f t="shared" si="416"/>
        <v>구유</v>
      </c>
      <c r="H2767" t="str">
        <f t="shared" si="420"/>
        <v>스토리위즈</v>
      </c>
      <c r="I2767" t="str">
        <f t="shared" si="417"/>
        <v>SSS급 마왕의 귀환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T2767" t="str">
        <f t="shared" si="418"/>
        <v>9791159289057</v>
      </c>
      <c r="AV2767" t="str">
        <f t="shared" si="419"/>
        <v>판타지 웹소설 &gt; 퓨전 판타지</v>
      </c>
    </row>
    <row r="2768" spans="1:48" x14ac:dyDescent="0.4">
      <c r="A2768">
        <v>2313004289</v>
      </c>
      <c r="B2768">
        <v>2313004407</v>
      </c>
      <c r="C2768" t="str">
        <f>T("SSS급 마왕의 귀환 119화")</f>
        <v>SSS급 마왕의 귀환 119화</v>
      </c>
      <c r="D2768" t="str">
        <f>T("119")</f>
        <v>119</v>
      </c>
      <c r="E2768" t="str">
        <f t="shared" si="416"/>
        <v>구유</v>
      </c>
      <c r="H2768" t="str">
        <f t="shared" si="420"/>
        <v>스토리위즈</v>
      </c>
      <c r="I2768" t="str">
        <f t="shared" si="417"/>
        <v>SSS급 마왕의 귀환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T2768" t="str">
        <f t="shared" si="418"/>
        <v>9791159289057</v>
      </c>
      <c r="AV2768" t="str">
        <f t="shared" si="419"/>
        <v>판타지 웹소설 &gt; 퓨전 판타지</v>
      </c>
    </row>
    <row r="2769" spans="1:48" x14ac:dyDescent="0.4">
      <c r="A2769">
        <v>2313004289</v>
      </c>
      <c r="B2769">
        <v>2313004408</v>
      </c>
      <c r="C2769" t="str">
        <f>T("SSS급 마왕의 귀환 120화")</f>
        <v>SSS급 마왕의 귀환 120화</v>
      </c>
      <c r="D2769" t="str">
        <f>T("120")</f>
        <v>120</v>
      </c>
      <c r="E2769" t="str">
        <f t="shared" si="416"/>
        <v>구유</v>
      </c>
      <c r="H2769" t="str">
        <f t="shared" si="420"/>
        <v>스토리위즈</v>
      </c>
      <c r="I2769" t="str">
        <f t="shared" si="417"/>
        <v>SSS급 마왕의 귀환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T2769" t="str">
        <f t="shared" si="418"/>
        <v>9791159289057</v>
      </c>
      <c r="AV2769" t="str">
        <f t="shared" si="419"/>
        <v>판타지 웹소설 &gt; 퓨전 판타지</v>
      </c>
    </row>
    <row r="2770" spans="1:48" x14ac:dyDescent="0.4">
      <c r="A2770">
        <v>2313004289</v>
      </c>
      <c r="B2770">
        <v>2313004409</v>
      </c>
      <c r="C2770" t="str">
        <f>T("SSS급 마왕의 귀환 121화")</f>
        <v>SSS급 마왕의 귀환 121화</v>
      </c>
      <c r="D2770" t="str">
        <f>T("121")</f>
        <v>121</v>
      </c>
      <c r="E2770" t="str">
        <f t="shared" si="416"/>
        <v>구유</v>
      </c>
      <c r="H2770" t="str">
        <f t="shared" si="420"/>
        <v>스토리위즈</v>
      </c>
      <c r="I2770" t="str">
        <f t="shared" si="417"/>
        <v>SSS급 마왕의 귀환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T2770" t="str">
        <f t="shared" si="418"/>
        <v>9791159289057</v>
      </c>
      <c r="AV2770" t="str">
        <f t="shared" si="419"/>
        <v>판타지 웹소설 &gt; 퓨전 판타지</v>
      </c>
    </row>
    <row r="2771" spans="1:48" x14ac:dyDescent="0.4">
      <c r="A2771">
        <v>2313004289</v>
      </c>
      <c r="B2771">
        <v>2313004410</v>
      </c>
      <c r="C2771" t="str">
        <f>T("SSS급 마왕의 귀환 122화")</f>
        <v>SSS급 마왕의 귀환 122화</v>
      </c>
      <c r="D2771" t="str">
        <f>T("122")</f>
        <v>122</v>
      </c>
      <c r="E2771" t="str">
        <f t="shared" si="416"/>
        <v>구유</v>
      </c>
      <c r="H2771" t="str">
        <f t="shared" si="420"/>
        <v>스토리위즈</v>
      </c>
      <c r="I2771" t="str">
        <f t="shared" si="417"/>
        <v>SSS급 마왕의 귀환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T2771" t="str">
        <f t="shared" si="418"/>
        <v>9791159289057</v>
      </c>
      <c r="AV2771" t="str">
        <f t="shared" si="419"/>
        <v>판타지 웹소설 &gt; 퓨전 판타지</v>
      </c>
    </row>
    <row r="2772" spans="1:48" x14ac:dyDescent="0.4">
      <c r="A2772">
        <v>2313004289</v>
      </c>
      <c r="B2772">
        <v>2313004411</v>
      </c>
      <c r="C2772" t="str">
        <f>T("SSS급 마왕의 귀환 123화")</f>
        <v>SSS급 마왕의 귀환 123화</v>
      </c>
      <c r="D2772" t="str">
        <f>T("123")</f>
        <v>123</v>
      </c>
      <c r="E2772" t="str">
        <f t="shared" si="416"/>
        <v>구유</v>
      </c>
      <c r="H2772" t="str">
        <f t="shared" si="420"/>
        <v>스토리위즈</v>
      </c>
      <c r="I2772" t="str">
        <f t="shared" si="417"/>
        <v>SSS급 마왕의 귀환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T2772" t="str">
        <f t="shared" si="418"/>
        <v>9791159289057</v>
      </c>
      <c r="AV2772" t="str">
        <f t="shared" si="419"/>
        <v>판타지 웹소설 &gt; 퓨전 판타지</v>
      </c>
    </row>
    <row r="2773" spans="1:48" x14ac:dyDescent="0.4">
      <c r="A2773">
        <v>2313004289</v>
      </c>
      <c r="B2773">
        <v>2313004412</v>
      </c>
      <c r="C2773" t="str">
        <f>T("SSS급 마왕의 귀환 124화")</f>
        <v>SSS급 마왕의 귀환 124화</v>
      </c>
      <c r="D2773" t="str">
        <f>T("124")</f>
        <v>124</v>
      </c>
      <c r="E2773" t="str">
        <f t="shared" si="416"/>
        <v>구유</v>
      </c>
      <c r="H2773" t="str">
        <f t="shared" si="420"/>
        <v>스토리위즈</v>
      </c>
      <c r="I2773" t="str">
        <f t="shared" si="417"/>
        <v>SSS급 마왕의 귀환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T2773" t="str">
        <f t="shared" si="418"/>
        <v>9791159289057</v>
      </c>
      <c r="AV2773" t="str">
        <f t="shared" si="419"/>
        <v>판타지 웹소설 &gt; 퓨전 판타지</v>
      </c>
    </row>
    <row r="2774" spans="1:48" x14ac:dyDescent="0.4">
      <c r="A2774">
        <v>2313004289</v>
      </c>
      <c r="B2774">
        <v>2313004413</v>
      </c>
      <c r="C2774" t="str">
        <f>T("SSS급 마왕의 귀환 125화")</f>
        <v>SSS급 마왕의 귀환 125화</v>
      </c>
      <c r="D2774" t="str">
        <f>T("125")</f>
        <v>125</v>
      </c>
      <c r="E2774" t="str">
        <f t="shared" si="416"/>
        <v>구유</v>
      </c>
      <c r="H2774" t="str">
        <f t="shared" si="420"/>
        <v>스토리위즈</v>
      </c>
      <c r="I2774" t="str">
        <f t="shared" si="417"/>
        <v>SSS급 마왕의 귀환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T2774" t="str">
        <f t="shared" si="418"/>
        <v>9791159289057</v>
      </c>
      <c r="AV2774" t="str">
        <f t="shared" si="419"/>
        <v>판타지 웹소설 &gt; 퓨전 판타지</v>
      </c>
    </row>
    <row r="2775" spans="1:48" x14ac:dyDescent="0.4">
      <c r="A2775">
        <v>2313004289</v>
      </c>
      <c r="B2775">
        <v>2313004414</v>
      </c>
      <c r="C2775" t="str">
        <f>T("SSS급 마왕의 귀환 126화")</f>
        <v>SSS급 마왕의 귀환 126화</v>
      </c>
      <c r="D2775" t="str">
        <f>T("126")</f>
        <v>126</v>
      </c>
      <c r="E2775" t="str">
        <f t="shared" si="416"/>
        <v>구유</v>
      </c>
      <c r="H2775" t="str">
        <f t="shared" si="420"/>
        <v>스토리위즈</v>
      </c>
      <c r="I2775" t="str">
        <f t="shared" si="417"/>
        <v>SSS급 마왕의 귀환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T2775" t="str">
        <f t="shared" si="418"/>
        <v>9791159289057</v>
      </c>
      <c r="AV2775" t="str">
        <f t="shared" si="419"/>
        <v>판타지 웹소설 &gt; 퓨전 판타지</v>
      </c>
    </row>
    <row r="2776" spans="1:48" x14ac:dyDescent="0.4">
      <c r="A2776">
        <v>2313004289</v>
      </c>
      <c r="B2776">
        <v>2313004415</v>
      </c>
      <c r="C2776" t="str">
        <f>T("SSS급 마왕의 귀환 127화")</f>
        <v>SSS급 마왕의 귀환 127화</v>
      </c>
      <c r="D2776" t="str">
        <f>T("127")</f>
        <v>127</v>
      </c>
      <c r="E2776" t="str">
        <f t="shared" si="416"/>
        <v>구유</v>
      </c>
      <c r="H2776" t="str">
        <f t="shared" si="420"/>
        <v>스토리위즈</v>
      </c>
      <c r="I2776" t="str">
        <f t="shared" si="417"/>
        <v>SSS급 마왕의 귀환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T2776" t="str">
        <f t="shared" si="418"/>
        <v>9791159289057</v>
      </c>
      <c r="AV2776" t="str">
        <f t="shared" si="419"/>
        <v>판타지 웹소설 &gt; 퓨전 판타지</v>
      </c>
    </row>
    <row r="2777" spans="1:48" x14ac:dyDescent="0.4">
      <c r="A2777">
        <v>2313004289</v>
      </c>
      <c r="B2777">
        <v>2313004416</v>
      </c>
      <c r="C2777" t="str">
        <f>T("SSS급 마왕의 귀환 128화")</f>
        <v>SSS급 마왕의 귀환 128화</v>
      </c>
      <c r="D2777" t="str">
        <f>T("128")</f>
        <v>128</v>
      </c>
      <c r="E2777" t="str">
        <f t="shared" si="416"/>
        <v>구유</v>
      </c>
      <c r="H2777" t="str">
        <f t="shared" si="420"/>
        <v>스토리위즈</v>
      </c>
      <c r="I2777" t="str">
        <f t="shared" si="417"/>
        <v>SSS급 마왕의 귀환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T2777" t="str">
        <f t="shared" si="418"/>
        <v>9791159289057</v>
      </c>
      <c r="AV2777" t="str">
        <f t="shared" si="419"/>
        <v>판타지 웹소설 &gt; 퓨전 판타지</v>
      </c>
    </row>
    <row r="2778" spans="1:48" x14ac:dyDescent="0.4">
      <c r="A2778">
        <v>2313004289</v>
      </c>
      <c r="B2778">
        <v>2313004417</v>
      </c>
      <c r="C2778" t="str">
        <f>T("SSS급 마왕의 귀환 129화")</f>
        <v>SSS급 마왕의 귀환 129화</v>
      </c>
      <c r="D2778" t="str">
        <f>T("129")</f>
        <v>129</v>
      </c>
      <c r="E2778" t="str">
        <f t="shared" si="416"/>
        <v>구유</v>
      </c>
      <c r="H2778" t="str">
        <f t="shared" si="420"/>
        <v>스토리위즈</v>
      </c>
      <c r="I2778" t="str">
        <f t="shared" si="417"/>
        <v>SSS급 마왕의 귀환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T2778" t="str">
        <f t="shared" si="418"/>
        <v>9791159289057</v>
      </c>
      <c r="AV2778" t="str">
        <f t="shared" si="419"/>
        <v>판타지 웹소설 &gt; 퓨전 판타지</v>
      </c>
    </row>
    <row r="2779" spans="1:48" x14ac:dyDescent="0.4">
      <c r="A2779">
        <v>2313004289</v>
      </c>
      <c r="B2779">
        <v>2313004418</v>
      </c>
      <c r="C2779" t="str">
        <f>T("SSS급 마왕의 귀환 130화")</f>
        <v>SSS급 마왕의 귀환 130화</v>
      </c>
      <c r="D2779" t="str">
        <f>T("130")</f>
        <v>130</v>
      </c>
      <c r="E2779" t="str">
        <f t="shared" si="416"/>
        <v>구유</v>
      </c>
      <c r="H2779" t="str">
        <f t="shared" si="420"/>
        <v>스토리위즈</v>
      </c>
      <c r="I2779" t="str">
        <f t="shared" si="417"/>
        <v>SSS급 마왕의 귀환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T2779" t="str">
        <f t="shared" si="418"/>
        <v>9791159289057</v>
      </c>
      <c r="AV2779" t="str">
        <f t="shared" si="419"/>
        <v>판타지 웹소설 &gt; 퓨전 판타지</v>
      </c>
    </row>
    <row r="2780" spans="1:48" x14ac:dyDescent="0.4">
      <c r="A2780">
        <v>2313004289</v>
      </c>
      <c r="B2780">
        <v>2313004419</v>
      </c>
      <c r="C2780" t="str">
        <f>T("SSS급 마왕의 귀환 131화")</f>
        <v>SSS급 마왕의 귀환 131화</v>
      </c>
      <c r="D2780" t="str">
        <f>T("131")</f>
        <v>131</v>
      </c>
      <c r="E2780" t="str">
        <f t="shared" si="416"/>
        <v>구유</v>
      </c>
      <c r="H2780" t="str">
        <f t="shared" si="420"/>
        <v>스토리위즈</v>
      </c>
      <c r="I2780" t="str">
        <f t="shared" si="417"/>
        <v>SSS급 마왕의 귀환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T2780" t="str">
        <f t="shared" si="418"/>
        <v>9791159289057</v>
      </c>
      <c r="AV2780" t="str">
        <f t="shared" si="419"/>
        <v>판타지 웹소설 &gt; 퓨전 판타지</v>
      </c>
    </row>
    <row r="2781" spans="1:48" x14ac:dyDescent="0.4">
      <c r="A2781">
        <v>2313004289</v>
      </c>
      <c r="B2781">
        <v>2313004420</v>
      </c>
      <c r="C2781" t="str">
        <f>T("SSS급 마왕의 귀환 132화")</f>
        <v>SSS급 마왕의 귀환 132화</v>
      </c>
      <c r="D2781" t="str">
        <f>T("132")</f>
        <v>132</v>
      </c>
      <c r="E2781" t="str">
        <f t="shared" si="416"/>
        <v>구유</v>
      </c>
      <c r="H2781" t="str">
        <f t="shared" si="420"/>
        <v>스토리위즈</v>
      </c>
      <c r="I2781" t="str">
        <f t="shared" si="417"/>
        <v>SSS급 마왕의 귀환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T2781" t="str">
        <f t="shared" si="418"/>
        <v>9791159289057</v>
      </c>
      <c r="AV2781" t="str">
        <f t="shared" si="419"/>
        <v>판타지 웹소설 &gt; 퓨전 판타지</v>
      </c>
    </row>
    <row r="2782" spans="1:48" x14ac:dyDescent="0.4">
      <c r="A2782">
        <v>2313004289</v>
      </c>
      <c r="B2782">
        <v>2313004421</v>
      </c>
      <c r="C2782" t="str">
        <f>T("SSS급 마왕의 귀환 133화")</f>
        <v>SSS급 마왕의 귀환 133화</v>
      </c>
      <c r="D2782" t="str">
        <f>T("133")</f>
        <v>133</v>
      </c>
      <c r="E2782" t="str">
        <f t="shared" si="416"/>
        <v>구유</v>
      </c>
      <c r="H2782" t="str">
        <f t="shared" si="420"/>
        <v>스토리위즈</v>
      </c>
      <c r="I2782" t="str">
        <f t="shared" si="417"/>
        <v>SSS급 마왕의 귀환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T2782" t="str">
        <f t="shared" si="418"/>
        <v>9791159289057</v>
      </c>
      <c r="AV2782" t="str">
        <f t="shared" si="419"/>
        <v>판타지 웹소설 &gt; 퓨전 판타지</v>
      </c>
    </row>
    <row r="2783" spans="1:48" x14ac:dyDescent="0.4">
      <c r="A2783">
        <v>2313004289</v>
      </c>
      <c r="B2783">
        <v>2313004422</v>
      </c>
      <c r="C2783" t="str">
        <f>T("SSS급 마왕의 귀환 134화")</f>
        <v>SSS급 마왕의 귀환 134화</v>
      </c>
      <c r="D2783" t="str">
        <f>T("134")</f>
        <v>134</v>
      </c>
      <c r="E2783" t="str">
        <f t="shared" si="416"/>
        <v>구유</v>
      </c>
      <c r="H2783" t="str">
        <f t="shared" si="420"/>
        <v>스토리위즈</v>
      </c>
      <c r="I2783" t="str">
        <f t="shared" si="417"/>
        <v>SSS급 마왕의 귀환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T2783" t="str">
        <f t="shared" si="418"/>
        <v>9791159289057</v>
      </c>
      <c r="AV2783" t="str">
        <f t="shared" si="419"/>
        <v>판타지 웹소설 &gt; 퓨전 판타지</v>
      </c>
    </row>
    <row r="2784" spans="1:48" x14ac:dyDescent="0.4">
      <c r="A2784">
        <v>2313004289</v>
      </c>
      <c r="B2784">
        <v>2313004423</v>
      </c>
      <c r="C2784" t="str">
        <f>T("SSS급 마왕의 귀환 135화")</f>
        <v>SSS급 마왕의 귀환 135화</v>
      </c>
      <c r="D2784" t="str">
        <f>T("135")</f>
        <v>135</v>
      </c>
      <c r="E2784" t="str">
        <f t="shared" si="416"/>
        <v>구유</v>
      </c>
      <c r="H2784" t="str">
        <f t="shared" si="420"/>
        <v>스토리위즈</v>
      </c>
      <c r="I2784" t="str">
        <f t="shared" si="417"/>
        <v>SSS급 마왕의 귀환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T2784" t="str">
        <f t="shared" si="418"/>
        <v>9791159289057</v>
      </c>
      <c r="AV2784" t="str">
        <f t="shared" si="419"/>
        <v>판타지 웹소설 &gt; 퓨전 판타지</v>
      </c>
    </row>
    <row r="2785" spans="1:48" x14ac:dyDescent="0.4">
      <c r="A2785">
        <v>2313004289</v>
      </c>
      <c r="B2785">
        <v>2313004424</v>
      </c>
      <c r="C2785" t="str">
        <f>T("SSS급 마왕의 귀환 136화")</f>
        <v>SSS급 마왕의 귀환 136화</v>
      </c>
      <c r="D2785" t="str">
        <f>T("136")</f>
        <v>136</v>
      </c>
      <c r="E2785" t="str">
        <f t="shared" si="416"/>
        <v>구유</v>
      </c>
      <c r="H2785" t="str">
        <f t="shared" si="420"/>
        <v>스토리위즈</v>
      </c>
      <c r="I2785" t="str">
        <f t="shared" si="417"/>
        <v>SSS급 마왕의 귀환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T2785" t="str">
        <f t="shared" si="418"/>
        <v>9791159289057</v>
      </c>
      <c r="AV2785" t="str">
        <f t="shared" si="419"/>
        <v>판타지 웹소설 &gt; 퓨전 판타지</v>
      </c>
    </row>
    <row r="2786" spans="1:48" x14ac:dyDescent="0.4">
      <c r="A2786">
        <v>2313004289</v>
      </c>
      <c r="B2786">
        <v>2313004425</v>
      </c>
      <c r="C2786" t="str">
        <f>T("SSS급 마왕의 귀환 137화")</f>
        <v>SSS급 마왕의 귀환 137화</v>
      </c>
      <c r="D2786" t="str">
        <f>T("137")</f>
        <v>137</v>
      </c>
      <c r="E2786" t="str">
        <f t="shared" si="416"/>
        <v>구유</v>
      </c>
      <c r="H2786" t="str">
        <f t="shared" si="420"/>
        <v>스토리위즈</v>
      </c>
      <c r="I2786" t="str">
        <f t="shared" si="417"/>
        <v>SSS급 마왕의 귀환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T2786" t="str">
        <f t="shared" si="418"/>
        <v>9791159289057</v>
      </c>
      <c r="AV2786" t="str">
        <f t="shared" si="419"/>
        <v>판타지 웹소설 &gt; 퓨전 판타지</v>
      </c>
    </row>
    <row r="2787" spans="1:48" x14ac:dyDescent="0.4">
      <c r="A2787">
        <v>2313004289</v>
      </c>
      <c r="B2787">
        <v>2313004426</v>
      </c>
      <c r="C2787" t="str">
        <f>T("SSS급 마왕의 귀환 138화")</f>
        <v>SSS급 마왕의 귀환 138화</v>
      </c>
      <c r="D2787" t="str">
        <f>T("138")</f>
        <v>138</v>
      </c>
      <c r="E2787" t="str">
        <f t="shared" si="416"/>
        <v>구유</v>
      </c>
      <c r="H2787" t="str">
        <f t="shared" si="420"/>
        <v>스토리위즈</v>
      </c>
      <c r="I2787" t="str">
        <f t="shared" si="417"/>
        <v>SSS급 마왕의 귀환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T2787" t="str">
        <f t="shared" si="418"/>
        <v>9791159289057</v>
      </c>
      <c r="AV2787" t="str">
        <f t="shared" si="419"/>
        <v>판타지 웹소설 &gt; 퓨전 판타지</v>
      </c>
    </row>
    <row r="2788" spans="1:48" x14ac:dyDescent="0.4">
      <c r="A2788">
        <v>2313004289</v>
      </c>
      <c r="B2788">
        <v>2313004427</v>
      </c>
      <c r="C2788" t="str">
        <f>T("SSS급 마왕의 귀환 139화")</f>
        <v>SSS급 마왕의 귀환 139화</v>
      </c>
      <c r="D2788" t="str">
        <f>T("139")</f>
        <v>139</v>
      </c>
      <c r="E2788" t="str">
        <f t="shared" si="416"/>
        <v>구유</v>
      </c>
      <c r="H2788" t="str">
        <f t="shared" si="420"/>
        <v>스토리위즈</v>
      </c>
      <c r="I2788" t="str">
        <f t="shared" si="417"/>
        <v>SSS급 마왕의 귀환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T2788" t="str">
        <f t="shared" si="418"/>
        <v>9791159289057</v>
      </c>
      <c r="AV2788" t="str">
        <f t="shared" si="419"/>
        <v>판타지 웹소설 &gt; 퓨전 판타지</v>
      </c>
    </row>
    <row r="2789" spans="1:48" x14ac:dyDescent="0.4">
      <c r="A2789">
        <v>2313004289</v>
      </c>
      <c r="B2789">
        <v>2313004428</v>
      </c>
      <c r="C2789" t="str">
        <f>T("SSS급 마왕의 귀환 140화")</f>
        <v>SSS급 마왕의 귀환 140화</v>
      </c>
      <c r="D2789" t="str">
        <f>T("140")</f>
        <v>140</v>
      </c>
      <c r="E2789" t="str">
        <f t="shared" si="416"/>
        <v>구유</v>
      </c>
      <c r="H2789" t="str">
        <f t="shared" si="420"/>
        <v>스토리위즈</v>
      </c>
      <c r="I2789" t="str">
        <f t="shared" si="417"/>
        <v>SSS급 마왕의 귀환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T2789" t="str">
        <f t="shared" si="418"/>
        <v>9791159289057</v>
      </c>
      <c r="AV2789" t="str">
        <f t="shared" si="419"/>
        <v>판타지 웹소설 &gt; 퓨전 판타지</v>
      </c>
    </row>
    <row r="2790" spans="1:48" x14ac:dyDescent="0.4">
      <c r="A2790">
        <v>2313005164</v>
      </c>
      <c r="B2790">
        <v>2313005189</v>
      </c>
      <c r="C2790" t="str">
        <f>T("성군이십니다 26화")</f>
        <v>성군이십니다 26화</v>
      </c>
      <c r="D2790" t="str">
        <f>T("26")</f>
        <v>26</v>
      </c>
      <c r="E2790" t="str">
        <f>T("이준영")</f>
        <v>이준영</v>
      </c>
      <c r="H2790" t="str">
        <f t="shared" si="420"/>
        <v>스토리위즈</v>
      </c>
      <c r="I2790" t="str">
        <f>T("성군이십니다")</f>
        <v>성군이십니다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21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22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T2790" t="str">
        <f>T("9791159287565")</f>
        <v>9791159287565</v>
      </c>
      <c r="AV2790" t="str">
        <f t="shared" si="419"/>
        <v>판타지 웹소설 &gt; 퓨전 판타지</v>
      </c>
    </row>
    <row r="2791" spans="1:48" x14ac:dyDescent="0.4">
      <c r="A2791">
        <v>2313005164</v>
      </c>
      <c r="B2791">
        <v>2313005310</v>
      </c>
      <c r="C2791" t="str">
        <f>T("성군이십니다 147화")</f>
        <v>성군이십니다 147화</v>
      </c>
      <c r="D2791" t="str">
        <f>T("147")</f>
        <v>147</v>
      </c>
      <c r="E2791" t="str">
        <f>T("이준영")</f>
        <v>이준영</v>
      </c>
      <c r="H2791" t="str">
        <f t="shared" si="420"/>
        <v>스토리위즈</v>
      </c>
      <c r="I2791" t="str">
        <f>T("성군이십니다")</f>
        <v>성군이십니다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>T("9791159287565")</f>
        <v>9791159287565</v>
      </c>
      <c r="AV2791" t="str">
        <f t="shared" si="419"/>
        <v>판타지 웹소설 &gt; 퓨전 판타지</v>
      </c>
    </row>
    <row r="2792" spans="1:48" x14ac:dyDescent="0.4">
      <c r="A2792">
        <v>2313005998</v>
      </c>
      <c r="B2792">
        <v>2313006155</v>
      </c>
      <c r="C2792" t="str">
        <f>T("삼국지 호접몽전 1부 158화")</f>
        <v>삼국지 호접몽전 1부 158화</v>
      </c>
      <c r="D2792" t="str">
        <f>T("158")</f>
        <v>158</v>
      </c>
      <c r="E2792" t="str">
        <f>T("청빙")</f>
        <v>청빙</v>
      </c>
      <c r="H2792" t="str">
        <f t="shared" si="420"/>
        <v>스토리위즈</v>
      </c>
      <c r="I2792" t="str">
        <f>T("삼국지 호접몽전")</f>
        <v>삼국지 호접몽전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>T("9791159287794")</f>
        <v>9791159287794</v>
      </c>
      <c r="AV2792" t="str">
        <f t="shared" si="419"/>
        <v>판타지 웹소설 &gt; 퓨전 판타지</v>
      </c>
    </row>
    <row r="2793" spans="1:48" x14ac:dyDescent="0.4">
      <c r="A2793">
        <v>2313005998</v>
      </c>
      <c r="B2793">
        <v>2313006313</v>
      </c>
      <c r="C2793" t="str">
        <f>T("삼국지 호접몽전 2부 1화")</f>
        <v>삼국지 호접몽전 2부 1화</v>
      </c>
      <c r="D2793" t="str">
        <f>T("316")</f>
        <v>316</v>
      </c>
      <c r="E2793" t="str">
        <f>T("청빙")</f>
        <v>청빙</v>
      </c>
      <c r="H2793" t="str">
        <f t="shared" si="420"/>
        <v>스토리위즈</v>
      </c>
      <c r="I2793" t="str">
        <f>T("삼국지 호접몽전")</f>
        <v>삼국지 호접몽전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>T("9791159287794")</f>
        <v>9791159287794</v>
      </c>
      <c r="AV2793" t="str">
        <f t="shared" si="419"/>
        <v>판타지 웹소설 &gt; 퓨전 판타지</v>
      </c>
    </row>
    <row r="2794" spans="1:48" x14ac:dyDescent="0.4">
      <c r="A2794">
        <v>2313005998</v>
      </c>
      <c r="B2794">
        <v>2313006314</v>
      </c>
      <c r="C2794" t="str">
        <f>T("삼국지 호접몽전 2부 2화")</f>
        <v>삼국지 호접몽전 2부 2화</v>
      </c>
      <c r="D2794" t="str">
        <f>T("317")</f>
        <v>317</v>
      </c>
      <c r="E2794" t="str">
        <f>T("청빙")</f>
        <v>청빙</v>
      </c>
      <c r="H2794" t="str">
        <f t="shared" si="420"/>
        <v>스토리위즈</v>
      </c>
      <c r="I2794" t="str">
        <f>T("삼국지 호접몽전")</f>
        <v>삼국지 호접몽전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>T("9791159287794")</f>
        <v>9791159287794</v>
      </c>
      <c r="AV2794" t="str">
        <f t="shared" si="419"/>
        <v>판타지 웹소설 &gt; 퓨전 판타지</v>
      </c>
    </row>
    <row r="2795" spans="1:48" x14ac:dyDescent="0.4">
      <c r="A2795">
        <v>2313005998</v>
      </c>
      <c r="B2795">
        <v>2313006315</v>
      </c>
      <c r="C2795" t="str">
        <f>T("삼국지 호접몽전 2부 3화")</f>
        <v>삼국지 호접몽전 2부 3화</v>
      </c>
      <c r="D2795" t="str">
        <f>T("318")</f>
        <v>318</v>
      </c>
      <c r="E2795" t="str">
        <f>T("청빙")</f>
        <v>청빙</v>
      </c>
      <c r="H2795" t="str">
        <f t="shared" si="420"/>
        <v>스토리위즈</v>
      </c>
      <c r="I2795" t="str">
        <f>T("삼국지 호접몽전")</f>
        <v>삼국지 호접몽전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>T("9791159287794")</f>
        <v>9791159287794</v>
      </c>
      <c r="AV2795" t="str">
        <f t="shared" si="419"/>
        <v>판타지 웹소설 &gt; 퓨전 판타지</v>
      </c>
    </row>
    <row r="2796" spans="1:48" x14ac:dyDescent="0.4">
      <c r="A2796">
        <v>2313005998</v>
      </c>
      <c r="B2796">
        <v>2313006316</v>
      </c>
      <c r="C2796" t="str">
        <f>T("삼국지 호접몽전 2부 4화")</f>
        <v>삼국지 호접몽전 2부 4화</v>
      </c>
      <c r="D2796" t="str">
        <f>T("319")</f>
        <v>319</v>
      </c>
      <c r="E2796" t="str">
        <f>T("청빙")</f>
        <v>청빙</v>
      </c>
      <c r="H2796" t="str">
        <f t="shared" si="420"/>
        <v>스토리위즈</v>
      </c>
      <c r="I2796" t="str">
        <f>T("삼국지 호접몽전")</f>
        <v>삼국지 호접몽전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>T("9791159287794")</f>
        <v>9791159287794</v>
      </c>
      <c r="AV2796" t="str">
        <f t="shared" si="419"/>
        <v>판타지 웹소설 &gt; 퓨전 판타지</v>
      </c>
    </row>
    <row r="2797" spans="1:48" x14ac:dyDescent="0.4">
      <c r="A2797">
        <v>2313007167</v>
      </c>
      <c r="B2797">
        <v>2313007193</v>
      </c>
      <c r="C2797" t="str">
        <f>T("이과생 둘이 회귀했다 27화")</f>
        <v>이과생 둘이 회귀했다 27화</v>
      </c>
      <c r="D2797" t="str">
        <f>T("27")</f>
        <v>27</v>
      </c>
      <c r="E2797" t="str">
        <f>T("하이후")</f>
        <v>하이후</v>
      </c>
      <c r="H2797" t="str">
        <f t="shared" si="420"/>
        <v>스토리위즈</v>
      </c>
      <c r="I2797" t="str">
        <f>T("이과생 둘이 회귀했다")</f>
        <v>이과생 둘이 회귀했다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>T("9791159284632")</f>
        <v>9791159284632</v>
      </c>
      <c r="AV2797" t="str">
        <f>T("판타지 웹소설 &gt; 현대 판타지")</f>
        <v>판타지 웹소설 &gt; 현대 판타지</v>
      </c>
    </row>
    <row r="2798" spans="1:48" x14ac:dyDescent="0.4">
      <c r="A2798">
        <v>2313007167</v>
      </c>
      <c r="B2798">
        <v>2313007194</v>
      </c>
      <c r="C2798" t="str">
        <f>T("이과생 둘이 회귀했다 28화")</f>
        <v>이과생 둘이 회귀했다 28화</v>
      </c>
      <c r="D2798" t="str">
        <f>T("28")</f>
        <v>28</v>
      </c>
      <c r="E2798" t="str">
        <f>T("하이후")</f>
        <v>하이후</v>
      </c>
      <c r="H2798" t="str">
        <f t="shared" si="420"/>
        <v>스토리위즈</v>
      </c>
      <c r="I2798" t="str">
        <f>T("이과생 둘이 회귀했다")</f>
        <v>이과생 둘이 회귀했다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>T("9791159284632")</f>
        <v>9791159284632</v>
      </c>
      <c r="AV2798" t="str">
        <f>T("판타지 웹소설 &gt; 현대 판타지")</f>
        <v>판타지 웹소설 &gt; 현대 판타지</v>
      </c>
    </row>
    <row r="2799" spans="1:48" x14ac:dyDescent="0.4">
      <c r="A2799">
        <v>2313007167</v>
      </c>
      <c r="B2799">
        <v>2313007195</v>
      </c>
      <c r="C2799" t="str">
        <f>T("이과생 둘이 회귀했다 29화")</f>
        <v>이과생 둘이 회귀했다 29화</v>
      </c>
      <c r="D2799" t="str">
        <f>T("29")</f>
        <v>29</v>
      </c>
      <c r="E2799" t="str">
        <f>T("하이후")</f>
        <v>하이후</v>
      </c>
      <c r="H2799" t="str">
        <f t="shared" si="420"/>
        <v>스토리위즈</v>
      </c>
      <c r="I2799" t="str">
        <f>T("이과생 둘이 회귀했다")</f>
        <v>이과생 둘이 회귀했다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>T("9791159284632")</f>
        <v>9791159284632</v>
      </c>
      <c r="AV2799" t="str">
        <f>T("판타지 웹소설 &gt; 현대 판타지")</f>
        <v>판타지 웹소설 &gt; 현대 판타지</v>
      </c>
    </row>
    <row r="2800" spans="1:48" x14ac:dyDescent="0.4">
      <c r="A2800">
        <v>2313007167</v>
      </c>
      <c r="B2800">
        <v>2313007196</v>
      </c>
      <c r="C2800" t="str">
        <f>T("이과생 둘이 회귀했다 30화")</f>
        <v>이과생 둘이 회귀했다 30화</v>
      </c>
      <c r="D2800" t="str">
        <f>T("30")</f>
        <v>30</v>
      </c>
      <c r="E2800" t="str">
        <f>T("하이후")</f>
        <v>하이후</v>
      </c>
      <c r="H2800" t="str">
        <f t="shared" si="420"/>
        <v>스토리위즈</v>
      </c>
      <c r="I2800" t="str">
        <f>T("이과생 둘이 회귀했다")</f>
        <v>이과생 둘이 회귀했다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>T("9791159284632")</f>
        <v>9791159284632</v>
      </c>
      <c r="AV2800" t="str">
        <f>T("판타지 웹소설 &gt; 현대 판타지")</f>
        <v>판타지 웹소설 &gt; 현대 판타지</v>
      </c>
    </row>
    <row r="2801" spans="1:48" x14ac:dyDescent="0.4">
      <c r="A2801">
        <v>2313007167</v>
      </c>
      <c r="B2801">
        <v>2313007197</v>
      </c>
      <c r="C2801" t="str">
        <f>T("이과생 둘이 회귀했다 31화")</f>
        <v>이과생 둘이 회귀했다 31화</v>
      </c>
      <c r="D2801" t="str">
        <f>T("31")</f>
        <v>31</v>
      </c>
      <c r="E2801" t="str">
        <f>T("하이후")</f>
        <v>하이후</v>
      </c>
      <c r="H2801" t="str">
        <f t="shared" si="420"/>
        <v>스토리위즈</v>
      </c>
      <c r="I2801" t="str">
        <f>T("이과생 둘이 회귀했다")</f>
        <v>이과생 둘이 회귀했다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>T("9791159284632")</f>
        <v>9791159284632</v>
      </c>
      <c r="AV2801" t="str">
        <f>T("판타지 웹소설 &gt; 현대 판타지")</f>
        <v>판타지 웹소설 &gt; 현대 판타지</v>
      </c>
    </row>
    <row r="2802" spans="1:48" x14ac:dyDescent="0.4">
      <c r="A2802">
        <v>2313008150</v>
      </c>
      <c r="B2802">
        <v>2313008217</v>
      </c>
      <c r="C2802" t="str">
        <f>T("기사가문 망나니는 10클래스 68화")</f>
        <v>기사가문 망나니는 10클래스 68화</v>
      </c>
      <c r="D2802" t="str">
        <f>T("68")</f>
        <v>68</v>
      </c>
      <c r="E2802" t="str">
        <f t="shared" ref="E2802:E2865" si="421">T("예로나")</f>
        <v>예로나</v>
      </c>
      <c r="H2802" t="str">
        <f t="shared" si="420"/>
        <v>스토리위즈</v>
      </c>
      <c r="I2802" t="str">
        <f t="shared" ref="I2802:I2865" si="422">T("기사가문 망나니는 10클래스")</f>
        <v>기사가문 망나니는 10클래스</v>
      </c>
      <c r="J2802">
        <v>100</v>
      </c>
      <c r="K2802">
        <v>100</v>
      </c>
      <c r="L2802">
        <v>1</v>
      </c>
      <c r="M2802">
        <v>0</v>
      </c>
      <c r="N2802">
        <v>100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200</v>
      </c>
      <c r="AH2802">
        <v>2</v>
      </c>
      <c r="AI2802">
        <v>0</v>
      </c>
      <c r="AJ2802">
        <v>0</v>
      </c>
      <c r="AK2802">
        <v>200</v>
      </c>
      <c r="AL2802">
        <v>0</v>
      </c>
      <c r="AM2802">
        <v>0</v>
      </c>
      <c r="AN2802">
        <v>0</v>
      </c>
      <c r="AO2802">
        <v>0</v>
      </c>
      <c r="AP2802">
        <v>140</v>
      </c>
      <c r="AT2802" t="str">
        <f t="shared" ref="AT2802:AT2865" si="423">T("9791165310370")</f>
        <v>9791165310370</v>
      </c>
      <c r="AV2802" t="str">
        <f t="shared" ref="AV2802:AV2865" si="424">T("판타지 웹소설 &gt; 퓨전 판타지")</f>
        <v>판타지 웹소설 &gt; 퓨전 판타지</v>
      </c>
    </row>
    <row r="2803" spans="1:48" x14ac:dyDescent="0.4">
      <c r="A2803">
        <v>2313008150</v>
      </c>
      <c r="B2803">
        <v>2313008223</v>
      </c>
      <c r="C2803" t="str">
        <f>T("기사가문 망나니는 10클래스 74화")</f>
        <v>기사가문 망나니는 10클래스 74화</v>
      </c>
      <c r="D2803" t="str">
        <f>T("74")</f>
        <v>74</v>
      </c>
      <c r="E2803" t="str">
        <f t="shared" si="421"/>
        <v>예로나</v>
      </c>
      <c r="H2803" t="str">
        <f t="shared" si="420"/>
        <v>스토리위즈</v>
      </c>
      <c r="I2803" t="str">
        <f t="shared" si="422"/>
        <v>기사가문 망나니는 10클래스</v>
      </c>
      <c r="J2803">
        <v>100</v>
      </c>
      <c r="K2803">
        <v>100</v>
      </c>
      <c r="L2803">
        <v>1</v>
      </c>
      <c r="M2803">
        <v>0</v>
      </c>
      <c r="N2803">
        <v>100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200</v>
      </c>
      <c r="AH2803">
        <v>2</v>
      </c>
      <c r="AI2803">
        <v>0</v>
      </c>
      <c r="AJ2803">
        <v>0</v>
      </c>
      <c r="AK2803">
        <v>200</v>
      </c>
      <c r="AL2803">
        <v>0</v>
      </c>
      <c r="AM2803">
        <v>0</v>
      </c>
      <c r="AN2803">
        <v>0</v>
      </c>
      <c r="AO2803">
        <v>0</v>
      </c>
      <c r="AP2803">
        <v>140</v>
      </c>
      <c r="AT2803" t="str">
        <f t="shared" si="423"/>
        <v>9791165310370</v>
      </c>
      <c r="AV2803" t="str">
        <f t="shared" si="424"/>
        <v>판타지 웹소설 &gt; 퓨전 판타지</v>
      </c>
    </row>
    <row r="2804" spans="1:48" x14ac:dyDescent="0.4">
      <c r="A2804">
        <v>2313008150</v>
      </c>
      <c r="B2804">
        <v>2313008225</v>
      </c>
      <c r="C2804" t="str">
        <f>T("기사가문 망나니는 10클래스 76화")</f>
        <v>기사가문 망나니는 10클래스 76화</v>
      </c>
      <c r="D2804" t="str">
        <f>T("76")</f>
        <v>76</v>
      </c>
      <c r="E2804" t="str">
        <f t="shared" si="421"/>
        <v>예로나</v>
      </c>
      <c r="H2804" t="str">
        <f t="shared" si="420"/>
        <v>스토리위즈</v>
      </c>
      <c r="I2804" t="str">
        <f t="shared" si="422"/>
        <v>기사가문 망나니는 10클래스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423"/>
        <v>9791165310370</v>
      </c>
      <c r="AV2804" t="str">
        <f t="shared" si="424"/>
        <v>판타지 웹소설 &gt; 퓨전 판타지</v>
      </c>
    </row>
    <row r="2805" spans="1:48" x14ac:dyDescent="0.4">
      <c r="A2805">
        <v>2313008150</v>
      </c>
      <c r="B2805">
        <v>2313008234</v>
      </c>
      <c r="C2805" t="str">
        <f>T("기사가문 망나니는 10클래스 85화")</f>
        <v>기사가문 망나니는 10클래스 85화</v>
      </c>
      <c r="D2805" t="str">
        <f>T("85")</f>
        <v>85</v>
      </c>
      <c r="E2805" t="str">
        <f t="shared" si="421"/>
        <v>예로나</v>
      </c>
      <c r="H2805" t="str">
        <f t="shared" si="420"/>
        <v>스토리위즈</v>
      </c>
      <c r="I2805" t="str">
        <f t="shared" si="422"/>
        <v>기사가문 망나니는 10클래스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423"/>
        <v>9791165310370</v>
      </c>
      <c r="AV2805" t="str">
        <f t="shared" si="424"/>
        <v>판타지 웹소설 &gt; 퓨전 판타지</v>
      </c>
    </row>
    <row r="2806" spans="1:48" x14ac:dyDescent="0.4">
      <c r="A2806">
        <v>2313008150</v>
      </c>
      <c r="B2806">
        <v>2313008236</v>
      </c>
      <c r="C2806" t="str">
        <f>T("기사가문 망나니는 10클래스 87화")</f>
        <v>기사가문 망나니는 10클래스 87화</v>
      </c>
      <c r="D2806" t="str">
        <f>T("87")</f>
        <v>87</v>
      </c>
      <c r="E2806" t="str">
        <f t="shared" si="421"/>
        <v>예로나</v>
      </c>
      <c r="H2806" t="str">
        <f t="shared" si="420"/>
        <v>스토리위즈</v>
      </c>
      <c r="I2806" t="str">
        <f t="shared" si="422"/>
        <v>기사가문 망나니는 10클래스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423"/>
        <v>9791165310370</v>
      </c>
      <c r="AV2806" t="str">
        <f t="shared" si="424"/>
        <v>판타지 웹소설 &gt; 퓨전 판타지</v>
      </c>
    </row>
    <row r="2807" spans="1:48" x14ac:dyDescent="0.4">
      <c r="A2807">
        <v>2313008150</v>
      </c>
      <c r="B2807">
        <v>2313008238</v>
      </c>
      <c r="C2807" t="str">
        <f>T("기사가문 망나니는 10클래스 89화")</f>
        <v>기사가문 망나니는 10클래스 89화</v>
      </c>
      <c r="D2807" t="str">
        <f>T("89")</f>
        <v>89</v>
      </c>
      <c r="E2807" t="str">
        <f t="shared" si="421"/>
        <v>예로나</v>
      </c>
      <c r="H2807" t="str">
        <f t="shared" si="420"/>
        <v>스토리위즈</v>
      </c>
      <c r="I2807" t="str">
        <f t="shared" si="422"/>
        <v>기사가문 망나니는 10클래스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423"/>
        <v>9791165310370</v>
      </c>
      <c r="AV2807" t="str">
        <f t="shared" si="424"/>
        <v>판타지 웹소설 &gt; 퓨전 판타지</v>
      </c>
    </row>
    <row r="2808" spans="1:48" x14ac:dyDescent="0.4">
      <c r="A2808">
        <v>2313008150</v>
      </c>
      <c r="B2808">
        <v>2313008239</v>
      </c>
      <c r="C2808" t="str">
        <f>T("기사가문 망나니는 10클래스 90화")</f>
        <v>기사가문 망나니는 10클래스 90화</v>
      </c>
      <c r="D2808" t="str">
        <f>T("90")</f>
        <v>90</v>
      </c>
      <c r="E2808" t="str">
        <f t="shared" si="421"/>
        <v>예로나</v>
      </c>
      <c r="H2808" t="str">
        <f t="shared" si="420"/>
        <v>스토리위즈</v>
      </c>
      <c r="I2808" t="str">
        <f t="shared" si="422"/>
        <v>기사가문 망나니는 10클래스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423"/>
        <v>9791165310370</v>
      </c>
      <c r="AV2808" t="str">
        <f t="shared" si="424"/>
        <v>판타지 웹소설 &gt; 퓨전 판타지</v>
      </c>
    </row>
    <row r="2809" spans="1:48" x14ac:dyDescent="0.4">
      <c r="A2809">
        <v>2313008150</v>
      </c>
      <c r="B2809">
        <v>2313008240</v>
      </c>
      <c r="C2809" t="str">
        <f>T("기사가문 망나니는 10클래스 91화")</f>
        <v>기사가문 망나니는 10클래스 91화</v>
      </c>
      <c r="D2809" t="str">
        <f>T("91")</f>
        <v>91</v>
      </c>
      <c r="E2809" t="str">
        <f t="shared" si="421"/>
        <v>예로나</v>
      </c>
      <c r="H2809" t="str">
        <f t="shared" ref="H2809:H2872" si="425">T("스토리위즈")</f>
        <v>스토리위즈</v>
      </c>
      <c r="I2809" t="str">
        <f t="shared" si="422"/>
        <v>기사가문 망나니는 10클래스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423"/>
        <v>9791165310370</v>
      </c>
      <c r="AV2809" t="str">
        <f t="shared" si="424"/>
        <v>판타지 웹소설 &gt; 퓨전 판타지</v>
      </c>
    </row>
    <row r="2810" spans="1:48" x14ac:dyDescent="0.4">
      <c r="A2810">
        <v>2313008150</v>
      </c>
      <c r="B2810">
        <v>2313008242</v>
      </c>
      <c r="C2810" t="str">
        <f>T("기사가문 망나니는 10클래스 93화")</f>
        <v>기사가문 망나니는 10클래스 93화</v>
      </c>
      <c r="D2810" t="str">
        <f>T("93")</f>
        <v>93</v>
      </c>
      <c r="E2810" t="str">
        <f t="shared" si="421"/>
        <v>예로나</v>
      </c>
      <c r="H2810" t="str">
        <f t="shared" si="425"/>
        <v>스토리위즈</v>
      </c>
      <c r="I2810" t="str">
        <f t="shared" si="422"/>
        <v>기사가문 망나니는 10클래스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423"/>
        <v>9791165310370</v>
      </c>
      <c r="AV2810" t="str">
        <f t="shared" si="424"/>
        <v>판타지 웹소설 &gt; 퓨전 판타지</v>
      </c>
    </row>
    <row r="2811" spans="1:48" x14ac:dyDescent="0.4">
      <c r="A2811">
        <v>2313008150</v>
      </c>
      <c r="B2811">
        <v>2313008243</v>
      </c>
      <c r="C2811" t="str">
        <f>T("기사가문 망나니는 10클래스 94화")</f>
        <v>기사가문 망나니는 10클래스 94화</v>
      </c>
      <c r="D2811" t="str">
        <f>T("94")</f>
        <v>94</v>
      </c>
      <c r="E2811" t="str">
        <f t="shared" si="421"/>
        <v>예로나</v>
      </c>
      <c r="H2811" t="str">
        <f t="shared" si="425"/>
        <v>스토리위즈</v>
      </c>
      <c r="I2811" t="str">
        <f t="shared" si="422"/>
        <v>기사가문 망나니는 10클래스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423"/>
        <v>9791165310370</v>
      </c>
      <c r="AV2811" t="str">
        <f t="shared" si="424"/>
        <v>판타지 웹소설 &gt; 퓨전 판타지</v>
      </c>
    </row>
    <row r="2812" spans="1:48" x14ac:dyDescent="0.4">
      <c r="A2812">
        <v>2313008150</v>
      </c>
      <c r="B2812">
        <v>2313008244</v>
      </c>
      <c r="C2812" t="str">
        <f>T("기사가문 망나니는 10클래스 95화")</f>
        <v>기사가문 망나니는 10클래스 95화</v>
      </c>
      <c r="D2812" t="str">
        <f>T("95")</f>
        <v>95</v>
      </c>
      <c r="E2812" t="str">
        <f t="shared" si="421"/>
        <v>예로나</v>
      </c>
      <c r="H2812" t="str">
        <f t="shared" si="425"/>
        <v>스토리위즈</v>
      </c>
      <c r="I2812" t="str">
        <f t="shared" si="422"/>
        <v>기사가문 망나니는 10클래스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423"/>
        <v>9791165310370</v>
      </c>
      <c r="AV2812" t="str">
        <f t="shared" si="424"/>
        <v>판타지 웹소설 &gt; 퓨전 판타지</v>
      </c>
    </row>
    <row r="2813" spans="1:48" x14ac:dyDescent="0.4">
      <c r="A2813">
        <v>2313008150</v>
      </c>
      <c r="B2813">
        <v>2313008245</v>
      </c>
      <c r="C2813" t="str">
        <f>T("기사가문 망나니는 10클래스 96화")</f>
        <v>기사가문 망나니는 10클래스 96화</v>
      </c>
      <c r="D2813" t="str">
        <f>T("96")</f>
        <v>96</v>
      </c>
      <c r="E2813" t="str">
        <f t="shared" si="421"/>
        <v>예로나</v>
      </c>
      <c r="H2813" t="str">
        <f t="shared" si="425"/>
        <v>스토리위즈</v>
      </c>
      <c r="I2813" t="str">
        <f t="shared" si="422"/>
        <v>기사가문 망나니는 10클래스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si="423"/>
        <v>9791165310370</v>
      </c>
      <c r="AV2813" t="str">
        <f t="shared" si="424"/>
        <v>판타지 웹소설 &gt; 퓨전 판타지</v>
      </c>
    </row>
    <row r="2814" spans="1:48" x14ac:dyDescent="0.4">
      <c r="A2814">
        <v>2313008150</v>
      </c>
      <c r="B2814">
        <v>2313008246</v>
      </c>
      <c r="C2814" t="str">
        <f>T("기사가문 망나니는 10클래스 97화")</f>
        <v>기사가문 망나니는 10클래스 97화</v>
      </c>
      <c r="D2814" t="str">
        <f>T("97")</f>
        <v>97</v>
      </c>
      <c r="E2814" t="str">
        <f t="shared" si="421"/>
        <v>예로나</v>
      </c>
      <c r="H2814" t="str">
        <f t="shared" si="425"/>
        <v>스토리위즈</v>
      </c>
      <c r="I2814" t="str">
        <f t="shared" si="422"/>
        <v>기사가문 망나니는 10클래스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si="423"/>
        <v>9791165310370</v>
      </c>
      <c r="AV2814" t="str">
        <f t="shared" si="424"/>
        <v>판타지 웹소설 &gt; 퓨전 판타지</v>
      </c>
    </row>
    <row r="2815" spans="1:48" x14ac:dyDescent="0.4">
      <c r="A2815">
        <v>2313008150</v>
      </c>
      <c r="B2815">
        <v>2313008247</v>
      </c>
      <c r="C2815" t="str">
        <f>T("기사가문 망나니는 10클래스 98화")</f>
        <v>기사가문 망나니는 10클래스 98화</v>
      </c>
      <c r="D2815" t="str">
        <f>T("98")</f>
        <v>98</v>
      </c>
      <c r="E2815" t="str">
        <f t="shared" si="421"/>
        <v>예로나</v>
      </c>
      <c r="H2815" t="str">
        <f t="shared" si="425"/>
        <v>스토리위즈</v>
      </c>
      <c r="I2815" t="str">
        <f t="shared" si="422"/>
        <v>기사가문 망나니는 10클래스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423"/>
        <v>9791165310370</v>
      </c>
      <c r="AV2815" t="str">
        <f t="shared" si="424"/>
        <v>판타지 웹소설 &gt; 퓨전 판타지</v>
      </c>
    </row>
    <row r="2816" spans="1:48" x14ac:dyDescent="0.4">
      <c r="A2816">
        <v>2313008150</v>
      </c>
      <c r="B2816">
        <v>2313008248</v>
      </c>
      <c r="C2816" t="str">
        <f>T("기사가문 망나니는 10클래스 99화")</f>
        <v>기사가문 망나니는 10클래스 99화</v>
      </c>
      <c r="D2816" t="str">
        <f>T("99")</f>
        <v>99</v>
      </c>
      <c r="E2816" t="str">
        <f t="shared" si="421"/>
        <v>예로나</v>
      </c>
      <c r="H2816" t="str">
        <f t="shared" si="425"/>
        <v>스토리위즈</v>
      </c>
      <c r="I2816" t="str">
        <f t="shared" si="422"/>
        <v>기사가문 망나니는 10클래스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423"/>
        <v>9791165310370</v>
      </c>
      <c r="AV2816" t="str">
        <f t="shared" si="424"/>
        <v>판타지 웹소설 &gt; 퓨전 판타지</v>
      </c>
    </row>
    <row r="2817" spans="1:48" x14ac:dyDescent="0.4">
      <c r="A2817">
        <v>2313008150</v>
      </c>
      <c r="B2817">
        <v>2313008251</v>
      </c>
      <c r="C2817" t="str">
        <f>T("기사가문 망나니는 10클래스 102화")</f>
        <v>기사가문 망나니는 10클래스 102화</v>
      </c>
      <c r="D2817" t="str">
        <f>T("102")</f>
        <v>102</v>
      </c>
      <c r="E2817" t="str">
        <f t="shared" si="421"/>
        <v>예로나</v>
      </c>
      <c r="H2817" t="str">
        <f t="shared" si="425"/>
        <v>스토리위즈</v>
      </c>
      <c r="I2817" t="str">
        <f t="shared" si="422"/>
        <v>기사가문 망나니는 10클래스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423"/>
        <v>9791165310370</v>
      </c>
      <c r="AV2817" t="str">
        <f t="shared" si="424"/>
        <v>판타지 웹소설 &gt; 퓨전 판타지</v>
      </c>
    </row>
    <row r="2818" spans="1:48" x14ac:dyDescent="0.4">
      <c r="A2818">
        <v>2313008150</v>
      </c>
      <c r="B2818">
        <v>2313008252</v>
      </c>
      <c r="C2818" t="str">
        <f>T("기사가문 망나니는 10클래스 103화")</f>
        <v>기사가문 망나니는 10클래스 103화</v>
      </c>
      <c r="D2818" t="str">
        <f>T("103")</f>
        <v>103</v>
      </c>
      <c r="E2818" t="str">
        <f t="shared" si="421"/>
        <v>예로나</v>
      </c>
      <c r="H2818" t="str">
        <f t="shared" si="425"/>
        <v>스토리위즈</v>
      </c>
      <c r="I2818" t="str">
        <f t="shared" si="422"/>
        <v>기사가문 망나니는 10클래스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si="423"/>
        <v>9791165310370</v>
      </c>
      <c r="AV2818" t="str">
        <f t="shared" si="424"/>
        <v>판타지 웹소설 &gt; 퓨전 판타지</v>
      </c>
    </row>
    <row r="2819" spans="1:48" x14ac:dyDescent="0.4">
      <c r="A2819">
        <v>2313008150</v>
      </c>
      <c r="B2819">
        <v>2313008255</v>
      </c>
      <c r="C2819" t="str">
        <f>T("기사가문 망나니는 10클래스 106화")</f>
        <v>기사가문 망나니는 10클래스 106화</v>
      </c>
      <c r="D2819" t="str">
        <f>T("106")</f>
        <v>106</v>
      </c>
      <c r="E2819" t="str">
        <f t="shared" si="421"/>
        <v>예로나</v>
      </c>
      <c r="H2819" t="str">
        <f t="shared" si="425"/>
        <v>스토리위즈</v>
      </c>
      <c r="I2819" t="str">
        <f t="shared" si="422"/>
        <v>기사가문 망나니는 10클래스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423"/>
        <v>9791165310370</v>
      </c>
      <c r="AV2819" t="str">
        <f t="shared" si="424"/>
        <v>판타지 웹소설 &gt; 퓨전 판타지</v>
      </c>
    </row>
    <row r="2820" spans="1:48" x14ac:dyDescent="0.4">
      <c r="A2820">
        <v>2313008150</v>
      </c>
      <c r="B2820">
        <v>2313008261</v>
      </c>
      <c r="C2820" t="str">
        <f>T("기사가문 망나니는 10클래스 112화")</f>
        <v>기사가문 망나니는 10클래스 112화</v>
      </c>
      <c r="D2820" t="str">
        <f>T("112")</f>
        <v>112</v>
      </c>
      <c r="E2820" t="str">
        <f t="shared" si="421"/>
        <v>예로나</v>
      </c>
      <c r="H2820" t="str">
        <f t="shared" si="425"/>
        <v>스토리위즈</v>
      </c>
      <c r="I2820" t="str">
        <f t="shared" si="422"/>
        <v>기사가문 망나니는 10클래스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423"/>
        <v>9791165310370</v>
      </c>
      <c r="AV2820" t="str">
        <f t="shared" si="424"/>
        <v>판타지 웹소설 &gt; 퓨전 판타지</v>
      </c>
    </row>
    <row r="2821" spans="1:48" x14ac:dyDescent="0.4">
      <c r="A2821">
        <v>2313008150</v>
      </c>
      <c r="B2821">
        <v>2313008262</v>
      </c>
      <c r="C2821" t="str">
        <f>T("기사가문 망나니는 10클래스 113화")</f>
        <v>기사가문 망나니는 10클래스 113화</v>
      </c>
      <c r="D2821" t="str">
        <f>T("113")</f>
        <v>113</v>
      </c>
      <c r="E2821" t="str">
        <f t="shared" si="421"/>
        <v>예로나</v>
      </c>
      <c r="H2821" t="str">
        <f t="shared" si="425"/>
        <v>스토리위즈</v>
      </c>
      <c r="I2821" t="str">
        <f t="shared" si="422"/>
        <v>기사가문 망나니는 10클래스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423"/>
        <v>9791165310370</v>
      </c>
      <c r="AV2821" t="str">
        <f t="shared" si="424"/>
        <v>판타지 웹소설 &gt; 퓨전 판타지</v>
      </c>
    </row>
    <row r="2822" spans="1:48" x14ac:dyDescent="0.4">
      <c r="A2822">
        <v>2313008150</v>
      </c>
      <c r="B2822">
        <v>2313008263</v>
      </c>
      <c r="C2822" t="str">
        <f>T("기사가문 망나니는 10클래스 114화")</f>
        <v>기사가문 망나니는 10클래스 114화</v>
      </c>
      <c r="D2822" t="str">
        <f>T("114")</f>
        <v>114</v>
      </c>
      <c r="E2822" t="str">
        <f t="shared" si="421"/>
        <v>예로나</v>
      </c>
      <c r="H2822" t="str">
        <f t="shared" si="425"/>
        <v>스토리위즈</v>
      </c>
      <c r="I2822" t="str">
        <f t="shared" si="422"/>
        <v>기사가문 망나니는 10클래스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423"/>
        <v>9791165310370</v>
      </c>
      <c r="AV2822" t="str">
        <f t="shared" si="424"/>
        <v>판타지 웹소설 &gt; 퓨전 판타지</v>
      </c>
    </row>
    <row r="2823" spans="1:48" x14ac:dyDescent="0.4">
      <c r="A2823">
        <v>2313008150</v>
      </c>
      <c r="B2823">
        <v>2313008264</v>
      </c>
      <c r="C2823" t="str">
        <f>T("기사가문 망나니는 10클래스 115화")</f>
        <v>기사가문 망나니는 10클래스 115화</v>
      </c>
      <c r="D2823" t="str">
        <f>T("115")</f>
        <v>115</v>
      </c>
      <c r="E2823" t="str">
        <f t="shared" si="421"/>
        <v>예로나</v>
      </c>
      <c r="H2823" t="str">
        <f t="shared" si="425"/>
        <v>스토리위즈</v>
      </c>
      <c r="I2823" t="str">
        <f t="shared" si="422"/>
        <v>기사가문 망나니는 10클래스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423"/>
        <v>9791165310370</v>
      </c>
      <c r="AV2823" t="str">
        <f t="shared" si="424"/>
        <v>판타지 웹소설 &gt; 퓨전 판타지</v>
      </c>
    </row>
    <row r="2824" spans="1:48" x14ac:dyDescent="0.4">
      <c r="A2824">
        <v>2313008150</v>
      </c>
      <c r="B2824">
        <v>2313008265</v>
      </c>
      <c r="C2824" t="str">
        <f>T("기사가문 망나니는 10클래스 116화")</f>
        <v>기사가문 망나니는 10클래스 116화</v>
      </c>
      <c r="D2824" t="str">
        <f>T("116")</f>
        <v>116</v>
      </c>
      <c r="E2824" t="str">
        <f t="shared" si="421"/>
        <v>예로나</v>
      </c>
      <c r="H2824" t="str">
        <f t="shared" si="425"/>
        <v>스토리위즈</v>
      </c>
      <c r="I2824" t="str">
        <f t="shared" si="422"/>
        <v>기사가문 망나니는 10클래스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423"/>
        <v>9791165310370</v>
      </c>
      <c r="AV2824" t="str">
        <f t="shared" si="424"/>
        <v>판타지 웹소설 &gt; 퓨전 판타지</v>
      </c>
    </row>
    <row r="2825" spans="1:48" x14ac:dyDescent="0.4">
      <c r="A2825">
        <v>2313008150</v>
      </c>
      <c r="B2825">
        <v>2313008266</v>
      </c>
      <c r="C2825" t="str">
        <f>T("기사가문 망나니는 10클래스 117화")</f>
        <v>기사가문 망나니는 10클래스 117화</v>
      </c>
      <c r="D2825" t="str">
        <f>T("117")</f>
        <v>117</v>
      </c>
      <c r="E2825" t="str">
        <f t="shared" si="421"/>
        <v>예로나</v>
      </c>
      <c r="H2825" t="str">
        <f t="shared" si="425"/>
        <v>스토리위즈</v>
      </c>
      <c r="I2825" t="str">
        <f t="shared" si="422"/>
        <v>기사가문 망나니는 10클래스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423"/>
        <v>9791165310370</v>
      </c>
      <c r="AV2825" t="str">
        <f t="shared" si="424"/>
        <v>판타지 웹소설 &gt; 퓨전 판타지</v>
      </c>
    </row>
    <row r="2826" spans="1:48" x14ac:dyDescent="0.4">
      <c r="A2826">
        <v>2313008150</v>
      </c>
      <c r="B2826">
        <v>2313008267</v>
      </c>
      <c r="C2826" t="str">
        <f>T("기사가문 망나니는 10클래스 118화")</f>
        <v>기사가문 망나니는 10클래스 118화</v>
      </c>
      <c r="D2826" t="str">
        <f>T("118")</f>
        <v>118</v>
      </c>
      <c r="E2826" t="str">
        <f t="shared" si="421"/>
        <v>예로나</v>
      </c>
      <c r="H2826" t="str">
        <f t="shared" si="425"/>
        <v>스토리위즈</v>
      </c>
      <c r="I2826" t="str">
        <f t="shared" si="422"/>
        <v>기사가문 망나니는 10클래스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423"/>
        <v>9791165310370</v>
      </c>
      <c r="AV2826" t="str">
        <f t="shared" si="424"/>
        <v>판타지 웹소설 &gt; 퓨전 판타지</v>
      </c>
    </row>
    <row r="2827" spans="1:48" x14ac:dyDescent="0.4">
      <c r="A2827">
        <v>2313008150</v>
      </c>
      <c r="B2827">
        <v>2313008268</v>
      </c>
      <c r="C2827" t="str">
        <f>T("기사가문 망나니는 10클래스 119화")</f>
        <v>기사가문 망나니는 10클래스 119화</v>
      </c>
      <c r="D2827" t="str">
        <f>T("119")</f>
        <v>119</v>
      </c>
      <c r="E2827" t="str">
        <f t="shared" si="421"/>
        <v>예로나</v>
      </c>
      <c r="H2827" t="str">
        <f t="shared" si="425"/>
        <v>스토리위즈</v>
      </c>
      <c r="I2827" t="str">
        <f t="shared" si="422"/>
        <v>기사가문 망나니는 10클래스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423"/>
        <v>9791165310370</v>
      </c>
      <c r="AV2827" t="str">
        <f t="shared" si="424"/>
        <v>판타지 웹소설 &gt; 퓨전 판타지</v>
      </c>
    </row>
    <row r="2828" spans="1:48" x14ac:dyDescent="0.4">
      <c r="A2828">
        <v>2313008150</v>
      </c>
      <c r="B2828">
        <v>2313008269</v>
      </c>
      <c r="C2828" t="str">
        <f>T("기사가문 망나니는 10클래스 120화")</f>
        <v>기사가문 망나니는 10클래스 120화</v>
      </c>
      <c r="D2828" t="str">
        <f>T("120")</f>
        <v>120</v>
      </c>
      <c r="E2828" t="str">
        <f t="shared" si="421"/>
        <v>예로나</v>
      </c>
      <c r="H2828" t="str">
        <f t="shared" si="425"/>
        <v>스토리위즈</v>
      </c>
      <c r="I2828" t="str">
        <f t="shared" si="422"/>
        <v>기사가문 망나니는 10클래스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si="423"/>
        <v>9791165310370</v>
      </c>
      <c r="AV2828" t="str">
        <f t="shared" si="424"/>
        <v>판타지 웹소설 &gt; 퓨전 판타지</v>
      </c>
    </row>
    <row r="2829" spans="1:48" x14ac:dyDescent="0.4">
      <c r="A2829">
        <v>2313008150</v>
      </c>
      <c r="B2829">
        <v>2313008274</v>
      </c>
      <c r="C2829" t="str">
        <f>T("기사가문 망나니는 10클래스 125화")</f>
        <v>기사가문 망나니는 10클래스 125화</v>
      </c>
      <c r="D2829" t="str">
        <f>T("125")</f>
        <v>125</v>
      </c>
      <c r="E2829" t="str">
        <f t="shared" si="421"/>
        <v>예로나</v>
      </c>
      <c r="H2829" t="str">
        <f t="shared" si="425"/>
        <v>스토리위즈</v>
      </c>
      <c r="I2829" t="str">
        <f t="shared" si="422"/>
        <v>기사가문 망나니는 10클래스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423"/>
        <v>9791165310370</v>
      </c>
      <c r="AV2829" t="str">
        <f t="shared" si="424"/>
        <v>판타지 웹소설 &gt; 퓨전 판타지</v>
      </c>
    </row>
    <row r="2830" spans="1:48" x14ac:dyDescent="0.4">
      <c r="A2830">
        <v>2313008150</v>
      </c>
      <c r="B2830">
        <v>2313008275</v>
      </c>
      <c r="C2830" t="str">
        <f>T("기사가문 망나니는 10클래스 126화")</f>
        <v>기사가문 망나니는 10클래스 126화</v>
      </c>
      <c r="D2830" t="str">
        <f>T("126")</f>
        <v>126</v>
      </c>
      <c r="E2830" t="str">
        <f t="shared" si="421"/>
        <v>예로나</v>
      </c>
      <c r="H2830" t="str">
        <f t="shared" si="425"/>
        <v>스토리위즈</v>
      </c>
      <c r="I2830" t="str">
        <f t="shared" si="422"/>
        <v>기사가문 망나니는 10클래스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423"/>
        <v>9791165310370</v>
      </c>
      <c r="AV2830" t="str">
        <f t="shared" si="424"/>
        <v>판타지 웹소설 &gt; 퓨전 판타지</v>
      </c>
    </row>
    <row r="2831" spans="1:48" x14ac:dyDescent="0.4">
      <c r="A2831">
        <v>2313008150</v>
      </c>
      <c r="B2831">
        <v>2313008276</v>
      </c>
      <c r="C2831" t="str">
        <f>T("기사가문 망나니는 10클래스 127화")</f>
        <v>기사가문 망나니는 10클래스 127화</v>
      </c>
      <c r="D2831" t="str">
        <f>T("127")</f>
        <v>127</v>
      </c>
      <c r="E2831" t="str">
        <f t="shared" si="421"/>
        <v>예로나</v>
      </c>
      <c r="H2831" t="str">
        <f t="shared" si="425"/>
        <v>스토리위즈</v>
      </c>
      <c r="I2831" t="str">
        <f t="shared" si="422"/>
        <v>기사가문 망나니는 10클래스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423"/>
        <v>9791165310370</v>
      </c>
      <c r="AV2831" t="str">
        <f t="shared" si="424"/>
        <v>판타지 웹소설 &gt; 퓨전 판타지</v>
      </c>
    </row>
    <row r="2832" spans="1:48" x14ac:dyDescent="0.4">
      <c r="A2832">
        <v>2313008150</v>
      </c>
      <c r="B2832">
        <v>2313008277</v>
      </c>
      <c r="C2832" t="str">
        <f>T("기사가문 망나니는 10클래스 128화")</f>
        <v>기사가문 망나니는 10클래스 128화</v>
      </c>
      <c r="D2832" t="str">
        <f>T("128")</f>
        <v>128</v>
      </c>
      <c r="E2832" t="str">
        <f t="shared" si="421"/>
        <v>예로나</v>
      </c>
      <c r="H2832" t="str">
        <f t="shared" si="425"/>
        <v>스토리위즈</v>
      </c>
      <c r="I2832" t="str">
        <f t="shared" si="422"/>
        <v>기사가문 망나니는 10클래스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423"/>
        <v>9791165310370</v>
      </c>
      <c r="AV2832" t="str">
        <f t="shared" si="424"/>
        <v>판타지 웹소설 &gt; 퓨전 판타지</v>
      </c>
    </row>
    <row r="2833" spans="1:48" x14ac:dyDescent="0.4">
      <c r="A2833">
        <v>2313008150</v>
      </c>
      <c r="B2833">
        <v>2313008278</v>
      </c>
      <c r="C2833" t="str">
        <f>T("기사가문 망나니는 10클래스 129화")</f>
        <v>기사가문 망나니는 10클래스 129화</v>
      </c>
      <c r="D2833" t="str">
        <f>T("129")</f>
        <v>129</v>
      </c>
      <c r="E2833" t="str">
        <f t="shared" si="421"/>
        <v>예로나</v>
      </c>
      <c r="H2833" t="str">
        <f t="shared" si="425"/>
        <v>스토리위즈</v>
      </c>
      <c r="I2833" t="str">
        <f t="shared" si="422"/>
        <v>기사가문 망나니는 10클래스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423"/>
        <v>9791165310370</v>
      </c>
      <c r="AV2833" t="str">
        <f t="shared" si="424"/>
        <v>판타지 웹소설 &gt; 퓨전 판타지</v>
      </c>
    </row>
    <row r="2834" spans="1:48" x14ac:dyDescent="0.4">
      <c r="A2834">
        <v>2313008150</v>
      </c>
      <c r="B2834">
        <v>2313008279</v>
      </c>
      <c r="C2834" t="str">
        <f>T("기사가문 망나니는 10클래스 130화")</f>
        <v>기사가문 망나니는 10클래스 130화</v>
      </c>
      <c r="D2834" t="str">
        <f>T("130")</f>
        <v>130</v>
      </c>
      <c r="E2834" t="str">
        <f t="shared" si="421"/>
        <v>예로나</v>
      </c>
      <c r="H2834" t="str">
        <f t="shared" si="425"/>
        <v>스토리위즈</v>
      </c>
      <c r="I2834" t="str">
        <f t="shared" si="422"/>
        <v>기사가문 망나니는 10클래스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423"/>
        <v>9791165310370</v>
      </c>
      <c r="AV2834" t="str">
        <f t="shared" si="424"/>
        <v>판타지 웹소설 &gt; 퓨전 판타지</v>
      </c>
    </row>
    <row r="2835" spans="1:48" x14ac:dyDescent="0.4">
      <c r="A2835">
        <v>2313008150</v>
      </c>
      <c r="B2835">
        <v>2313008280</v>
      </c>
      <c r="C2835" t="str">
        <f>T("기사가문 망나니는 10클래스 131화")</f>
        <v>기사가문 망나니는 10클래스 131화</v>
      </c>
      <c r="D2835" t="str">
        <f>T("131")</f>
        <v>131</v>
      </c>
      <c r="E2835" t="str">
        <f t="shared" si="421"/>
        <v>예로나</v>
      </c>
      <c r="H2835" t="str">
        <f t="shared" si="425"/>
        <v>스토리위즈</v>
      </c>
      <c r="I2835" t="str">
        <f t="shared" si="422"/>
        <v>기사가문 망나니는 10클래스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423"/>
        <v>9791165310370</v>
      </c>
      <c r="AV2835" t="str">
        <f t="shared" si="424"/>
        <v>판타지 웹소설 &gt; 퓨전 판타지</v>
      </c>
    </row>
    <row r="2836" spans="1:48" x14ac:dyDescent="0.4">
      <c r="A2836">
        <v>2313008150</v>
      </c>
      <c r="B2836">
        <v>2313008281</v>
      </c>
      <c r="C2836" t="str">
        <f>T("기사가문 망나니는 10클래스 132화")</f>
        <v>기사가문 망나니는 10클래스 132화</v>
      </c>
      <c r="D2836" t="str">
        <f>T("132")</f>
        <v>132</v>
      </c>
      <c r="E2836" t="str">
        <f t="shared" si="421"/>
        <v>예로나</v>
      </c>
      <c r="H2836" t="str">
        <f t="shared" si="425"/>
        <v>스토리위즈</v>
      </c>
      <c r="I2836" t="str">
        <f t="shared" si="422"/>
        <v>기사가문 망나니는 10클래스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423"/>
        <v>9791165310370</v>
      </c>
      <c r="AV2836" t="str">
        <f t="shared" si="424"/>
        <v>판타지 웹소설 &gt; 퓨전 판타지</v>
      </c>
    </row>
    <row r="2837" spans="1:48" x14ac:dyDescent="0.4">
      <c r="A2837">
        <v>2313008150</v>
      </c>
      <c r="B2837">
        <v>2313008282</v>
      </c>
      <c r="C2837" t="str">
        <f>T("기사가문 망나니는 10클래스 133화")</f>
        <v>기사가문 망나니는 10클래스 133화</v>
      </c>
      <c r="D2837" t="str">
        <f>T("133")</f>
        <v>133</v>
      </c>
      <c r="E2837" t="str">
        <f t="shared" si="421"/>
        <v>예로나</v>
      </c>
      <c r="H2837" t="str">
        <f t="shared" si="425"/>
        <v>스토리위즈</v>
      </c>
      <c r="I2837" t="str">
        <f t="shared" si="422"/>
        <v>기사가문 망나니는 10클래스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423"/>
        <v>9791165310370</v>
      </c>
      <c r="AV2837" t="str">
        <f t="shared" si="424"/>
        <v>판타지 웹소설 &gt; 퓨전 판타지</v>
      </c>
    </row>
    <row r="2838" spans="1:48" x14ac:dyDescent="0.4">
      <c r="A2838">
        <v>2313008150</v>
      </c>
      <c r="B2838">
        <v>2313008283</v>
      </c>
      <c r="C2838" t="str">
        <f>T("기사가문 망나니는 10클래스 134화")</f>
        <v>기사가문 망나니는 10클래스 134화</v>
      </c>
      <c r="D2838" t="str">
        <f>T("134")</f>
        <v>134</v>
      </c>
      <c r="E2838" t="str">
        <f t="shared" si="421"/>
        <v>예로나</v>
      </c>
      <c r="H2838" t="str">
        <f t="shared" si="425"/>
        <v>스토리위즈</v>
      </c>
      <c r="I2838" t="str">
        <f t="shared" si="422"/>
        <v>기사가문 망나니는 10클래스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423"/>
        <v>9791165310370</v>
      </c>
      <c r="AV2838" t="str">
        <f t="shared" si="424"/>
        <v>판타지 웹소설 &gt; 퓨전 판타지</v>
      </c>
    </row>
    <row r="2839" spans="1:48" x14ac:dyDescent="0.4">
      <c r="A2839">
        <v>2313008150</v>
      </c>
      <c r="B2839">
        <v>2313008284</v>
      </c>
      <c r="C2839" t="str">
        <f>T("기사가문 망나니는 10클래스 135화")</f>
        <v>기사가문 망나니는 10클래스 135화</v>
      </c>
      <c r="D2839" t="str">
        <f>T("135")</f>
        <v>135</v>
      </c>
      <c r="E2839" t="str">
        <f t="shared" si="421"/>
        <v>예로나</v>
      </c>
      <c r="H2839" t="str">
        <f t="shared" si="425"/>
        <v>스토리위즈</v>
      </c>
      <c r="I2839" t="str">
        <f t="shared" si="422"/>
        <v>기사가문 망나니는 10클래스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423"/>
        <v>9791165310370</v>
      </c>
      <c r="AV2839" t="str">
        <f t="shared" si="424"/>
        <v>판타지 웹소설 &gt; 퓨전 판타지</v>
      </c>
    </row>
    <row r="2840" spans="1:48" x14ac:dyDescent="0.4">
      <c r="A2840">
        <v>2313008150</v>
      </c>
      <c r="B2840">
        <v>2313008285</v>
      </c>
      <c r="C2840" t="str">
        <f>T("기사가문 망나니는 10클래스 136화")</f>
        <v>기사가문 망나니는 10클래스 136화</v>
      </c>
      <c r="D2840" t="str">
        <f>T("136")</f>
        <v>136</v>
      </c>
      <c r="E2840" t="str">
        <f t="shared" si="421"/>
        <v>예로나</v>
      </c>
      <c r="H2840" t="str">
        <f t="shared" si="425"/>
        <v>스토리위즈</v>
      </c>
      <c r="I2840" t="str">
        <f t="shared" si="422"/>
        <v>기사가문 망나니는 10클래스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423"/>
        <v>9791165310370</v>
      </c>
      <c r="AV2840" t="str">
        <f t="shared" si="424"/>
        <v>판타지 웹소설 &gt; 퓨전 판타지</v>
      </c>
    </row>
    <row r="2841" spans="1:48" x14ac:dyDescent="0.4">
      <c r="A2841">
        <v>2313008150</v>
      </c>
      <c r="B2841">
        <v>2313008286</v>
      </c>
      <c r="C2841" t="str">
        <f>T("기사가문 망나니는 10클래스 137화")</f>
        <v>기사가문 망나니는 10클래스 137화</v>
      </c>
      <c r="D2841" t="str">
        <f>T("137")</f>
        <v>137</v>
      </c>
      <c r="E2841" t="str">
        <f t="shared" si="421"/>
        <v>예로나</v>
      </c>
      <c r="H2841" t="str">
        <f t="shared" si="425"/>
        <v>스토리위즈</v>
      </c>
      <c r="I2841" t="str">
        <f t="shared" si="422"/>
        <v>기사가문 망나니는 10클래스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423"/>
        <v>9791165310370</v>
      </c>
      <c r="AV2841" t="str">
        <f t="shared" si="424"/>
        <v>판타지 웹소설 &gt; 퓨전 판타지</v>
      </c>
    </row>
    <row r="2842" spans="1:48" x14ac:dyDescent="0.4">
      <c r="A2842">
        <v>2313008150</v>
      </c>
      <c r="B2842">
        <v>2313008287</v>
      </c>
      <c r="C2842" t="str">
        <f>T("기사가문 망나니는 10클래스 138화")</f>
        <v>기사가문 망나니는 10클래스 138화</v>
      </c>
      <c r="D2842" t="str">
        <f>T("138")</f>
        <v>138</v>
      </c>
      <c r="E2842" t="str">
        <f t="shared" si="421"/>
        <v>예로나</v>
      </c>
      <c r="H2842" t="str">
        <f t="shared" si="425"/>
        <v>스토리위즈</v>
      </c>
      <c r="I2842" t="str">
        <f t="shared" si="422"/>
        <v>기사가문 망나니는 10클래스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423"/>
        <v>9791165310370</v>
      </c>
      <c r="AV2842" t="str">
        <f t="shared" si="424"/>
        <v>판타지 웹소설 &gt; 퓨전 판타지</v>
      </c>
    </row>
    <row r="2843" spans="1:48" x14ac:dyDescent="0.4">
      <c r="A2843">
        <v>2313008150</v>
      </c>
      <c r="B2843">
        <v>2313008288</v>
      </c>
      <c r="C2843" t="str">
        <f>T("기사가문 망나니는 10클래스 139화")</f>
        <v>기사가문 망나니는 10클래스 139화</v>
      </c>
      <c r="D2843" t="str">
        <f>T("139")</f>
        <v>139</v>
      </c>
      <c r="E2843" t="str">
        <f t="shared" si="421"/>
        <v>예로나</v>
      </c>
      <c r="H2843" t="str">
        <f t="shared" si="425"/>
        <v>스토리위즈</v>
      </c>
      <c r="I2843" t="str">
        <f t="shared" si="422"/>
        <v>기사가문 망나니는 10클래스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423"/>
        <v>9791165310370</v>
      </c>
      <c r="AV2843" t="str">
        <f t="shared" si="424"/>
        <v>판타지 웹소설 &gt; 퓨전 판타지</v>
      </c>
    </row>
    <row r="2844" spans="1:48" x14ac:dyDescent="0.4">
      <c r="A2844">
        <v>2313008150</v>
      </c>
      <c r="B2844">
        <v>2313008289</v>
      </c>
      <c r="C2844" t="str">
        <f>T("기사가문 망나니는 10클래스 140화")</f>
        <v>기사가문 망나니는 10클래스 140화</v>
      </c>
      <c r="D2844" t="str">
        <f>T("140")</f>
        <v>140</v>
      </c>
      <c r="E2844" t="str">
        <f t="shared" si="421"/>
        <v>예로나</v>
      </c>
      <c r="H2844" t="str">
        <f t="shared" si="425"/>
        <v>스토리위즈</v>
      </c>
      <c r="I2844" t="str">
        <f t="shared" si="422"/>
        <v>기사가문 망나니는 10클래스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423"/>
        <v>9791165310370</v>
      </c>
      <c r="AV2844" t="str">
        <f t="shared" si="424"/>
        <v>판타지 웹소설 &gt; 퓨전 판타지</v>
      </c>
    </row>
    <row r="2845" spans="1:48" x14ac:dyDescent="0.4">
      <c r="A2845">
        <v>2313008150</v>
      </c>
      <c r="B2845">
        <v>2313008290</v>
      </c>
      <c r="C2845" t="str">
        <f>T("기사가문 망나니는 10클래스 141화")</f>
        <v>기사가문 망나니는 10클래스 141화</v>
      </c>
      <c r="D2845" t="str">
        <f>T("141")</f>
        <v>141</v>
      </c>
      <c r="E2845" t="str">
        <f t="shared" si="421"/>
        <v>예로나</v>
      </c>
      <c r="H2845" t="str">
        <f t="shared" si="425"/>
        <v>스토리위즈</v>
      </c>
      <c r="I2845" t="str">
        <f t="shared" si="422"/>
        <v>기사가문 망나니는 10클래스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423"/>
        <v>9791165310370</v>
      </c>
      <c r="AV2845" t="str">
        <f t="shared" si="424"/>
        <v>판타지 웹소설 &gt; 퓨전 판타지</v>
      </c>
    </row>
    <row r="2846" spans="1:48" x14ac:dyDescent="0.4">
      <c r="A2846">
        <v>2313008150</v>
      </c>
      <c r="B2846">
        <v>2313008291</v>
      </c>
      <c r="C2846" t="str">
        <f>T("기사가문 망나니는 10클래스 142화")</f>
        <v>기사가문 망나니는 10클래스 142화</v>
      </c>
      <c r="D2846" t="str">
        <f>T("142")</f>
        <v>142</v>
      </c>
      <c r="E2846" t="str">
        <f t="shared" si="421"/>
        <v>예로나</v>
      </c>
      <c r="H2846" t="str">
        <f t="shared" si="425"/>
        <v>스토리위즈</v>
      </c>
      <c r="I2846" t="str">
        <f t="shared" si="422"/>
        <v>기사가문 망나니는 10클래스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423"/>
        <v>9791165310370</v>
      </c>
      <c r="AV2846" t="str">
        <f t="shared" si="424"/>
        <v>판타지 웹소설 &gt; 퓨전 판타지</v>
      </c>
    </row>
    <row r="2847" spans="1:48" x14ac:dyDescent="0.4">
      <c r="A2847">
        <v>2313008150</v>
      </c>
      <c r="B2847">
        <v>2313008292</v>
      </c>
      <c r="C2847" t="str">
        <f>T("기사가문 망나니는 10클래스 143화")</f>
        <v>기사가문 망나니는 10클래스 143화</v>
      </c>
      <c r="D2847" t="str">
        <f>T("143")</f>
        <v>143</v>
      </c>
      <c r="E2847" t="str">
        <f t="shared" si="421"/>
        <v>예로나</v>
      </c>
      <c r="H2847" t="str">
        <f t="shared" si="425"/>
        <v>스토리위즈</v>
      </c>
      <c r="I2847" t="str">
        <f t="shared" si="422"/>
        <v>기사가문 망나니는 10클래스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423"/>
        <v>9791165310370</v>
      </c>
      <c r="AV2847" t="str">
        <f t="shared" si="424"/>
        <v>판타지 웹소설 &gt; 퓨전 판타지</v>
      </c>
    </row>
    <row r="2848" spans="1:48" x14ac:dyDescent="0.4">
      <c r="A2848">
        <v>2313008150</v>
      </c>
      <c r="B2848">
        <v>2313008293</v>
      </c>
      <c r="C2848" t="str">
        <f>T("기사가문 망나니는 10클래스 144화")</f>
        <v>기사가문 망나니는 10클래스 144화</v>
      </c>
      <c r="D2848" t="str">
        <f>T("144")</f>
        <v>144</v>
      </c>
      <c r="E2848" t="str">
        <f t="shared" si="421"/>
        <v>예로나</v>
      </c>
      <c r="H2848" t="str">
        <f t="shared" si="425"/>
        <v>스토리위즈</v>
      </c>
      <c r="I2848" t="str">
        <f t="shared" si="422"/>
        <v>기사가문 망나니는 10클래스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423"/>
        <v>9791165310370</v>
      </c>
      <c r="AV2848" t="str">
        <f t="shared" si="424"/>
        <v>판타지 웹소설 &gt; 퓨전 판타지</v>
      </c>
    </row>
    <row r="2849" spans="1:48" x14ac:dyDescent="0.4">
      <c r="A2849">
        <v>2313008150</v>
      </c>
      <c r="B2849">
        <v>2313008294</v>
      </c>
      <c r="C2849" t="str">
        <f>T("기사가문 망나니는 10클래스 145화")</f>
        <v>기사가문 망나니는 10클래스 145화</v>
      </c>
      <c r="D2849" t="str">
        <f>T("145")</f>
        <v>145</v>
      </c>
      <c r="E2849" t="str">
        <f t="shared" si="421"/>
        <v>예로나</v>
      </c>
      <c r="H2849" t="str">
        <f t="shared" si="425"/>
        <v>스토리위즈</v>
      </c>
      <c r="I2849" t="str">
        <f t="shared" si="422"/>
        <v>기사가문 망나니는 10클래스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423"/>
        <v>9791165310370</v>
      </c>
      <c r="AV2849" t="str">
        <f t="shared" si="424"/>
        <v>판타지 웹소설 &gt; 퓨전 판타지</v>
      </c>
    </row>
    <row r="2850" spans="1:48" x14ac:dyDescent="0.4">
      <c r="A2850">
        <v>2313008150</v>
      </c>
      <c r="B2850">
        <v>2313008295</v>
      </c>
      <c r="C2850" t="str">
        <f>T("기사가문 망나니는 10클래스 146화")</f>
        <v>기사가문 망나니는 10클래스 146화</v>
      </c>
      <c r="D2850" t="str">
        <f>T("146")</f>
        <v>146</v>
      </c>
      <c r="E2850" t="str">
        <f t="shared" si="421"/>
        <v>예로나</v>
      </c>
      <c r="H2850" t="str">
        <f t="shared" si="425"/>
        <v>스토리위즈</v>
      </c>
      <c r="I2850" t="str">
        <f t="shared" si="422"/>
        <v>기사가문 망나니는 10클래스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423"/>
        <v>9791165310370</v>
      </c>
      <c r="AV2850" t="str">
        <f t="shared" si="424"/>
        <v>판타지 웹소설 &gt; 퓨전 판타지</v>
      </c>
    </row>
    <row r="2851" spans="1:48" x14ac:dyDescent="0.4">
      <c r="A2851">
        <v>2313008150</v>
      </c>
      <c r="B2851">
        <v>2313008296</v>
      </c>
      <c r="C2851" t="str">
        <f>T("기사가문 망나니는 10클래스 147화")</f>
        <v>기사가문 망나니는 10클래스 147화</v>
      </c>
      <c r="D2851" t="str">
        <f>T("147")</f>
        <v>147</v>
      </c>
      <c r="E2851" t="str">
        <f t="shared" si="421"/>
        <v>예로나</v>
      </c>
      <c r="H2851" t="str">
        <f t="shared" si="425"/>
        <v>스토리위즈</v>
      </c>
      <c r="I2851" t="str">
        <f t="shared" si="422"/>
        <v>기사가문 망나니는 10클래스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423"/>
        <v>9791165310370</v>
      </c>
      <c r="AV2851" t="str">
        <f t="shared" si="424"/>
        <v>판타지 웹소설 &gt; 퓨전 판타지</v>
      </c>
    </row>
    <row r="2852" spans="1:48" x14ac:dyDescent="0.4">
      <c r="A2852">
        <v>2313008150</v>
      </c>
      <c r="B2852">
        <v>2313008297</v>
      </c>
      <c r="C2852" t="str">
        <f>T("기사가문 망나니는 10클래스 148화")</f>
        <v>기사가문 망나니는 10클래스 148화</v>
      </c>
      <c r="D2852" t="str">
        <f>T("148")</f>
        <v>148</v>
      </c>
      <c r="E2852" t="str">
        <f t="shared" si="421"/>
        <v>예로나</v>
      </c>
      <c r="H2852" t="str">
        <f t="shared" si="425"/>
        <v>스토리위즈</v>
      </c>
      <c r="I2852" t="str">
        <f t="shared" si="422"/>
        <v>기사가문 망나니는 10클래스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423"/>
        <v>9791165310370</v>
      </c>
      <c r="AV2852" t="str">
        <f t="shared" si="424"/>
        <v>판타지 웹소설 &gt; 퓨전 판타지</v>
      </c>
    </row>
    <row r="2853" spans="1:48" x14ac:dyDescent="0.4">
      <c r="A2853">
        <v>2313008150</v>
      </c>
      <c r="B2853">
        <v>2313008298</v>
      </c>
      <c r="C2853" t="str">
        <f>T("기사가문 망나니는 10클래스 149화")</f>
        <v>기사가문 망나니는 10클래스 149화</v>
      </c>
      <c r="D2853" t="str">
        <f>T("149")</f>
        <v>149</v>
      </c>
      <c r="E2853" t="str">
        <f t="shared" si="421"/>
        <v>예로나</v>
      </c>
      <c r="H2853" t="str">
        <f t="shared" si="425"/>
        <v>스토리위즈</v>
      </c>
      <c r="I2853" t="str">
        <f t="shared" si="422"/>
        <v>기사가문 망나니는 10클래스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423"/>
        <v>9791165310370</v>
      </c>
      <c r="AV2853" t="str">
        <f t="shared" si="424"/>
        <v>판타지 웹소설 &gt; 퓨전 판타지</v>
      </c>
    </row>
    <row r="2854" spans="1:48" x14ac:dyDescent="0.4">
      <c r="A2854">
        <v>2313008150</v>
      </c>
      <c r="B2854">
        <v>2313008299</v>
      </c>
      <c r="C2854" t="str">
        <f>T("기사가문 망나니는 10클래스 150화")</f>
        <v>기사가문 망나니는 10클래스 150화</v>
      </c>
      <c r="D2854" t="str">
        <f>T("150")</f>
        <v>150</v>
      </c>
      <c r="E2854" t="str">
        <f t="shared" si="421"/>
        <v>예로나</v>
      </c>
      <c r="H2854" t="str">
        <f t="shared" si="425"/>
        <v>스토리위즈</v>
      </c>
      <c r="I2854" t="str">
        <f t="shared" si="422"/>
        <v>기사가문 망나니는 10클래스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423"/>
        <v>9791165310370</v>
      </c>
      <c r="AV2854" t="str">
        <f t="shared" si="424"/>
        <v>판타지 웹소설 &gt; 퓨전 판타지</v>
      </c>
    </row>
    <row r="2855" spans="1:48" x14ac:dyDescent="0.4">
      <c r="A2855">
        <v>2313008150</v>
      </c>
      <c r="B2855">
        <v>2313008300</v>
      </c>
      <c r="C2855" t="str">
        <f>T("기사가문 망나니는 10클래스 151화")</f>
        <v>기사가문 망나니는 10클래스 151화</v>
      </c>
      <c r="D2855" t="str">
        <f>T("151")</f>
        <v>151</v>
      </c>
      <c r="E2855" t="str">
        <f t="shared" si="421"/>
        <v>예로나</v>
      </c>
      <c r="H2855" t="str">
        <f t="shared" si="425"/>
        <v>스토리위즈</v>
      </c>
      <c r="I2855" t="str">
        <f t="shared" si="422"/>
        <v>기사가문 망나니는 10클래스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423"/>
        <v>9791165310370</v>
      </c>
      <c r="AV2855" t="str">
        <f t="shared" si="424"/>
        <v>판타지 웹소설 &gt; 퓨전 판타지</v>
      </c>
    </row>
    <row r="2856" spans="1:48" x14ac:dyDescent="0.4">
      <c r="A2856">
        <v>2313008150</v>
      </c>
      <c r="B2856">
        <v>2313008301</v>
      </c>
      <c r="C2856" t="str">
        <f>T("기사가문 망나니는 10클래스 152화")</f>
        <v>기사가문 망나니는 10클래스 152화</v>
      </c>
      <c r="D2856" t="str">
        <f>T("152")</f>
        <v>152</v>
      </c>
      <c r="E2856" t="str">
        <f t="shared" si="421"/>
        <v>예로나</v>
      </c>
      <c r="H2856" t="str">
        <f t="shared" si="425"/>
        <v>스토리위즈</v>
      </c>
      <c r="I2856" t="str">
        <f t="shared" si="422"/>
        <v>기사가문 망나니는 10클래스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423"/>
        <v>9791165310370</v>
      </c>
      <c r="AV2856" t="str">
        <f t="shared" si="424"/>
        <v>판타지 웹소설 &gt; 퓨전 판타지</v>
      </c>
    </row>
    <row r="2857" spans="1:48" x14ac:dyDescent="0.4">
      <c r="A2857">
        <v>2313008150</v>
      </c>
      <c r="B2857">
        <v>2313008302</v>
      </c>
      <c r="C2857" t="str">
        <f>T("기사가문 망나니는 10클래스 153화")</f>
        <v>기사가문 망나니는 10클래스 153화</v>
      </c>
      <c r="D2857" t="str">
        <f>T("153")</f>
        <v>153</v>
      </c>
      <c r="E2857" t="str">
        <f t="shared" si="421"/>
        <v>예로나</v>
      </c>
      <c r="H2857" t="str">
        <f t="shared" si="425"/>
        <v>스토리위즈</v>
      </c>
      <c r="I2857" t="str">
        <f t="shared" si="422"/>
        <v>기사가문 망나니는 10클래스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423"/>
        <v>9791165310370</v>
      </c>
      <c r="AV2857" t="str">
        <f t="shared" si="424"/>
        <v>판타지 웹소설 &gt; 퓨전 판타지</v>
      </c>
    </row>
    <row r="2858" spans="1:48" x14ac:dyDescent="0.4">
      <c r="A2858">
        <v>2313008150</v>
      </c>
      <c r="B2858">
        <v>2313008303</v>
      </c>
      <c r="C2858" t="str">
        <f>T("기사가문 망나니는 10클래스 154화")</f>
        <v>기사가문 망나니는 10클래스 154화</v>
      </c>
      <c r="D2858" t="str">
        <f>T("154")</f>
        <v>154</v>
      </c>
      <c r="E2858" t="str">
        <f t="shared" si="421"/>
        <v>예로나</v>
      </c>
      <c r="H2858" t="str">
        <f t="shared" si="425"/>
        <v>스토리위즈</v>
      </c>
      <c r="I2858" t="str">
        <f t="shared" si="422"/>
        <v>기사가문 망나니는 10클래스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423"/>
        <v>9791165310370</v>
      </c>
      <c r="AV2858" t="str">
        <f t="shared" si="424"/>
        <v>판타지 웹소설 &gt; 퓨전 판타지</v>
      </c>
    </row>
    <row r="2859" spans="1:48" x14ac:dyDescent="0.4">
      <c r="A2859">
        <v>2313008150</v>
      </c>
      <c r="B2859">
        <v>2313008304</v>
      </c>
      <c r="C2859" t="str">
        <f>T("기사가문 망나니는 10클래스 155화")</f>
        <v>기사가문 망나니는 10클래스 155화</v>
      </c>
      <c r="D2859" t="str">
        <f>T("155")</f>
        <v>155</v>
      </c>
      <c r="E2859" t="str">
        <f t="shared" si="421"/>
        <v>예로나</v>
      </c>
      <c r="H2859" t="str">
        <f t="shared" si="425"/>
        <v>스토리위즈</v>
      </c>
      <c r="I2859" t="str">
        <f t="shared" si="422"/>
        <v>기사가문 망나니는 10클래스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423"/>
        <v>9791165310370</v>
      </c>
      <c r="AV2859" t="str">
        <f t="shared" si="424"/>
        <v>판타지 웹소설 &gt; 퓨전 판타지</v>
      </c>
    </row>
    <row r="2860" spans="1:48" x14ac:dyDescent="0.4">
      <c r="A2860">
        <v>2313008150</v>
      </c>
      <c r="B2860">
        <v>2313008305</v>
      </c>
      <c r="C2860" t="str">
        <f>T("기사가문 망나니는 10클래스 156화")</f>
        <v>기사가문 망나니는 10클래스 156화</v>
      </c>
      <c r="D2860" t="str">
        <f>T("156")</f>
        <v>156</v>
      </c>
      <c r="E2860" t="str">
        <f t="shared" si="421"/>
        <v>예로나</v>
      </c>
      <c r="H2860" t="str">
        <f t="shared" si="425"/>
        <v>스토리위즈</v>
      </c>
      <c r="I2860" t="str">
        <f t="shared" si="422"/>
        <v>기사가문 망나니는 10클래스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423"/>
        <v>9791165310370</v>
      </c>
      <c r="AV2860" t="str">
        <f t="shared" si="424"/>
        <v>판타지 웹소설 &gt; 퓨전 판타지</v>
      </c>
    </row>
    <row r="2861" spans="1:48" x14ac:dyDescent="0.4">
      <c r="A2861">
        <v>2313008150</v>
      </c>
      <c r="B2861">
        <v>2313008306</v>
      </c>
      <c r="C2861" t="str">
        <f>T("기사가문 망나니는 10클래스 157화")</f>
        <v>기사가문 망나니는 10클래스 157화</v>
      </c>
      <c r="D2861" t="str">
        <f>T("157")</f>
        <v>157</v>
      </c>
      <c r="E2861" t="str">
        <f t="shared" si="421"/>
        <v>예로나</v>
      </c>
      <c r="H2861" t="str">
        <f t="shared" si="425"/>
        <v>스토리위즈</v>
      </c>
      <c r="I2861" t="str">
        <f t="shared" si="422"/>
        <v>기사가문 망나니는 10클래스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423"/>
        <v>9791165310370</v>
      </c>
      <c r="AV2861" t="str">
        <f t="shared" si="424"/>
        <v>판타지 웹소설 &gt; 퓨전 판타지</v>
      </c>
    </row>
    <row r="2862" spans="1:48" x14ac:dyDescent="0.4">
      <c r="A2862">
        <v>2313008150</v>
      </c>
      <c r="B2862">
        <v>2313008307</v>
      </c>
      <c r="C2862" t="str">
        <f>T("기사가문 망나니는 10클래스 158화")</f>
        <v>기사가문 망나니는 10클래스 158화</v>
      </c>
      <c r="D2862" t="str">
        <f>T("158")</f>
        <v>158</v>
      </c>
      <c r="E2862" t="str">
        <f t="shared" si="421"/>
        <v>예로나</v>
      </c>
      <c r="H2862" t="str">
        <f t="shared" si="425"/>
        <v>스토리위즈</v>
      </c>
      <c r="I2862" t="str">
        <f t="shared" si="422"/>
        <v>기사가문 망나니는 10클래스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423"/>
        <v>9791165310370</v>
      </c>
      <c r="AV2862" t="str">
        <f t="shared" si="424"/>
        <v>판타지 웹소설 &gt; 퓨전 판타지</v>
      </c>
    </row>
    <row r="2863" spans="1:48" x14ac:dyDescent="0.4">
      <c r="A2863">
        <v>2313008150</v>
      </c>
      <c r="B2863">
        <v>2313008308</v>
      </c>
      <c r="C2863" t="str">
        <f>T("기사가문 망나니는 10클래스 159화")</f>
        <v>기사가문 망나니는 10클래스 159화</v>
      </c>
      <c r="D2863" t="str">
        <f>T("159")</f>
        <v>159</v>
      </c>
      <c r="E2863" t="str">
        <f t="shared" si="421"/>
        <v>예로나</v>
      </c>
      <c r="H2863" t="str">
        <f t="shared" si="425"/>
        <v>스토리위즈</v>
      </c>
      <c r="I2863" t="str">
        <f t="shared" si="422"/>
        <v>기사가문 망나니는 10클래스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423"/>
        <v>9791165310370</v>
      </c>
      <c r="AV2863" t="str">
        <f t="shared" si="424"/>
        <v>판타지 웹소설 &gt; 퓨전 판타지</v>
      </c>
    </row>
    <row r="2864" spans="1:48" x14ac:dyDescent="0.4">
      <c r="A2864">
        <v>2313008150</v>
      </c>
      <c r="B2864">
        <v>2313008309</v>
      </c>
      <c r="C2864" t="str">
        <f>T("기사가문 망나니는 10클래스 160화")</f>
        <v>기사가문 망나니는 10클래스 160화</v>
      </c>
      <c r="D2864" t="str">
        <f>T("160")</f>
        <v>160</v>
      </c>
      <c r="E2864" t="str">
        <f t="shared" si="421"/>
        <v>예로나</v>
      </c>
      <c r="H2864" t="str">
        <f t="shared" si="425"/>
        <v>스토리위즈</v>
      </c>
      <c r="I2864" t="str">
        <f t="shared" si="422"/>
        <v>기사가문 망나니는 10클래스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423"/>
        <v>9791165310370</v>
      </c>
      <c r="AV2864" t="str">
        <f t="shared" si="424"/>
        <v>판타지 웹소설 &gt; 퓨전 판타지</v>
      </c>
    </row>
    <row r="2865" spans="1:48" x14ac:dyDescent="0.4">
      <c r="A2865">
        <v>2313008150</v>
      </c>
      <c r="B2865">
        <v>2313008310</v>
      </c>
      <c r="C2865" t="str">
        <f>T("기사가문 망나니는 10클래스 161화")</f>
        <v>기사가문 망나니는 10클래스 161화</v>
      </c>
      <c r="D2865" t="str">
        <f>T("161")</f>
        <v>161</v>
      </c>
      <c r="E2865" t="str">
        <f t="shared" si="421"/>
        <v>예로나</v>
      </c>
      <c r="H2865" t="str">
        <f t="shared" si="425"/>
        <v>스토리위즈</v>
      </c>
      <c r="I2865" t="str">
        <f t="shared" si="422"/>
        <v>기사가문 망나니는 10클래스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423"/>
        <v>9791165310370</v>
      </c>
      <c r="AV2865" t="str">
        <f t="shared" si="424"/>
        <v>판타지 웹소설 &gt; 퓨전 판타지</v>
      </c>
    </row>
    <row r="2866" spans="1:48" x14ac:dyDescent="0.4">
      <c r="A2866">
        <v>2313008150</v>
      </c>
      <c r="B2866">
        <v>2313008311</v>
      </c>
      <c r="C2866" t="str">
        <f>T("기사가문 망나니는 10클래스 162화")</f>
        <v>기사가문 망나니는 10클래스 162화</v>
      </c>
      <c r="D2866" t="str">
        <f>T("162")</f>
        <v>162</v>
      </c>
      <c r="E2866" t="str">
        <f t="shared" ref="E2866:E2900" si="426">T("예로나")</f>
        <v>예로나</v>
      </c>
      <c r="H2866" t="str">
        <f t="shared" si="425"/>
        <v>스토리위즈</v>
      </c>
      <c r="I2866" t="str">
        <f t="shared" ref="I2866:I2900" si="427">T("기사가문 망나니는 10클래스")</f>
        <v>기사가문 망나니는 10클래스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ref="AT2866:AT2900" si="428">T("9791165310370")</f>
        <v>9791165310370</v>
      </c>
      <c r="AV2866" t="str">
        <f t="shared" ref="AV2866:AV2924" si="429">T("판타지 웹소설 &gt; 퓨전 판타지")</f>
        <v>판타지 웹소설 &gt; 퓨전 판타지</v>
      </c>
    </row>
    <row r="2867" spans="1:48" x14ac:dyDescent="0.4">
      <c r="A2867">
        <v>2313008150</v>
      </c>
      <c r="B2867">
        <v>2313008312</v>
      </c>
      <c r="C2867" t="str">
        <f>T("기사가문 망나니는 10클래스 163화")</f>
        <v>기사가문 망나니는 10클래스 163화</v>
      </c>
      <c r="D2867" t="str">
        <f>T("163")</f>
        <v>163</v>
      </c>
      <c r="E2867" t="str">
        <f t="shared" si="426"/>
        <v>예로나</v>
      </c>
      <c r="H2867" t="str">
        <f t="shared" si="425"/>
        <v>스토리위즈</v>
      </c>
      <c r="I2867" t="str">
        <f t="shared" si="427"/>
        <v>기사가문 망나니는 10클래스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428"/>
        <v>9791165310370</v>
      </c>
      <c r="AV2867" t="str">
        <f t="shared" si="429"/>
        <v>판타지 웹소설 &gt; 퓨전 판타지</v>
      </c>
    </row>
    <row r="2868" spans="1:48" x14ac:dyDescent="0.4">
      <c r="A2868">
        <v>2313008150</v>
      </c>
      <c r="B2868">
        <v>2313008313</v>
      </c>
      <c r="C2868" t="str">
        <f>T("기사가문 망나니는 10클래스 164화")</f>
        <v>기사가문 망나니는 10클래스 164화</v>
      </c>
      <c r="D2868" t="str">
        <f>T("164")</f>
        <v>164</v>
      </c>
      <c r="E2868" t="str">
        <f t="shared" si="426"/>
        <v>예로나</v>
      </c>
      <c r="H2868" t="str">
        <f t="shared" si="425"/>
        <v>스토리위즈</v>
      </c>
      <c r="I2868" t="str">
        <f t="shared" si="427"/>
        <v>기사가문 망나니는 10클래스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428"/>
        <v>9791165310370</v>
      </c>
      <c r="AV2868" t="str">
        <f t="shared" si="429"/>
        <v>판타지 웹소설 &gt; 퓨전 판타지</v>
      </c>
    </row>
    <row r="2869" spans="1:48" x14ac:dyDescent="0.4">
      <c r="A2869">
        <v>2313008150</v>
      </c>
      <c r="B2869">
        <v>2313008314</v>
      </c>
      <c r="C2869" t="str">
        <f>T("기사가문 망나니는 10클래스 165화")</f>
        <v>기사가문 망나니는 10클래스 165화</v>
      </c>
      <c r="D2869" t="str">
        <f>T("165")</f>
        <v>165</v>
      </c>
      <c r="E2869" t="str">
        <f t="shared" si="426"/>
        <v>예로나</v>
      </c>
      <c r="H2869" t="str">
        <f t="shared" si="425"/>
        <v>스토리위즈</v>
      </c>
      <c r="I2869" t="str">
        <f t="shared" si="427"/>
        <v>기사가문 망나니는 10클래스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428"/>
        <v>9791165310370</v>
      </c>
      <c r="AV2869" t="str">
        <f t="shared" si="429"/>
        <v>판타지 웹소설 &gt; 퓨전 판타지</v>
      </c>
    </row>
    <row r="2870" spans="1:48" x14ac:dyDescent="0.4">
      <c r="A2870">
        <v>2313008150</v>
      </c>
      <c r="B2870">
        <v>2313008315</v>
      </c>
      <c r="C2870" t="str">
        <f>T("기사가문 망나니는 10클래스 166화")</f>
        <v>기사가문 망나니는 10클래스 166화</v>
      </c>
      <c r="D2870" t="str">
        <f>T("166")</f>
        <v>166</v>
      </c>
      <c r="E2870" t="str">
        <f t="shared" si="426"/>
        <v>예로나</v>
      </c>
      <c r="H2870" t="str">
        <f t="shared" si="425"/>
        <v>스토리위즈</v>
      </c>
      <c r="I2870" t="str">
        <f t="shared" si="427"/>
        <v>기사가문 망나니는 10클래스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428"/>
        <v>9791165310370</v>
      </c>
      <c r="AV2870" t="str">
        <f t="shared" si="429"/>
        <v>판타지 웹소설 &gt; 퓨전 판타지</v>
      </c>
    </row>
    <row r="2871" spans="1:48" x14ac:dyDescent="0.4">
      <c r="A2871">
        <v>2313008150</v>
      </c>
      <c r="B2871">
        <v>2313008316</v>
      </c>
      <c r="C2871" t="str">
        <f>T("기사가문 망나니는 10클래스 167화")</f>
        <v>기사가문 망나니는 10클래스 167화</v>
      </c>
      <c r="D2871" t="str">
        <f>T("167")</f>
        <v>167</v>
      </c>
      <c r="E2871" t="str">
        <f t="shared" si="426"/>
        <v>예로나</v>
      </c>
      <c r="H2871" t="str">
        <f t="shared" si="425"/>
        <v>스토리위즈</v>
      </c>
      <c r="I2871" t="str">
        <f t="shared" si="427"/>
        <v>기사가문 망나니는 10클래스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428"/>
        <v>9791165310370</v>
      </c>
      <c r="AV2871" t="str">
        <f t="shared" si="429"/>
        <v>판타지 웹소설 &gt; 퓨전 판타지</v>
      </c>
    </row>
    <row r="2872" spans="1:48" x14ac:dyDescent="0.4">
      <c r="A2872">
        <v>2313008150</v>
      </c>
      <c r="B2872">
        <v>2313008317</v>
      </c>
      <c r="C2872" t="str">
        <f>T("기사가문 망나니는 10클래스 168화")</f>
        <v>기사가문 망나니는 10클래스 168화</v>
      </c>
      <c r="D2872" t="str">
        <f>T("168")</f>
        <v>168</v>
      </c>
      <c r="E2872" t="str">
        <f t="shared" si="426"/>
        <v>예로나</v>
      </c>
      <c r="H2872" t="str">
        <f t="shared" si="425"/>
        <v>스토리위즈</v>
      </c>
      <c r="I2872" t="str">
        <f t="shared" si="427"/>
        <v>기사가문 망나니는 10클래스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428"/>
        <v>9791165310370</v>
      </c>
      <c r="AV2872" t="str">
        <f t="shared" si="429"/>
        <v>판타지 웹소설 &gt; 퓨전 판타지</v>
      </c>
    </row>
    <row r="2873" spans="1:48" x14ac:dyDescent="0.4">
      <c r="A2873">
        <v>2313008150</v>
      </c>
      <c r="B2873">
        <v>2313008318</v>
      </c>
      <c r="C2873" t="str">
        <f>T("기사가문 망나니는 10클래스 169화")</f>
        <v>기사가문 망나니는 10클래스 169화</v>
      </c>
      <c r="D2873" t="str">
        <f>T("169")</f>
        <v>169</v>
      </c>
      <c r="E2873" t="str">
        <f t="shared" si="426"/>
        <v>예로나</v>
      </c>
      <c r="H2873" t="str">
        <f t="shared" ref="H2873:H2936" si="430">T("스토리위즈")</f>
        <v>스토리위즈</v>
      </c>
      <c r="I2873" t="str">
        <f t="shared" si="427"/>
        <v>기사가문 망나니는 10클래스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428"/>
        <v>9791165310370</v>
      </c>
      <c r="AV2873" t="str">
        <f t="shared" si="429"/>
        <v>판타지 웹소설 &gt; 퓨전 판타지</v>
      </c>
    </row>
    <row r="2874" spans="1:48" x14ac:dyDescent="0.4">
      <c r="A2874">
        <v>2313008150</v>
      </c>
      <c r="B2874">
        <v>2313008319</v>
      </c>
      <c r="C2874" t="str">
        <f>T("기사가문 망나니는 10클래스 170화")</f>
        <v>기사가문 망나니는 10클래스 170화</v>
      </c>
      <c r="D2874" t="str">
        <f>T("170")</f>
        <v>170</v>
      </c>
      <c r="E2874" t="str">
        <f t="shared" si="426"/>
        <v>예로나</v>
      </c>
      <c r="H2874" t="str">
        <f t="shared" si="430"/>
        <v>스토리위즈</v>
      </c>
      <c r="I2874" t="str">
        <f t="shared" si="427"/>
        <v>기사가문 망나니는 10클래스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428"/>
        <v>9791165310370</v>
      </c>
      <c r="AV2874" t="str">
        <f t="shared" si="429"/>
        <v>판타지 웹소설 &gt; 퓨전 판타지</v>
      </c>
    </row>
    <row r="2875" spans="1:48" x14ac:dyDescent="0.4">
      <c r="A2875">
        <v>2313008150</v>
      </c>
      <c r="B2875">
        <v>2313008320</v>
      </c>
      <c r="C2875" t="str">
        <f>T("기사가문 망나니는 10클래스 171화")</f>
        <v>기사가문 망나니는 10클래스 171화</v>
      </c>
      <c r="D2875" t="str">
        <f>T("171")</f>
        <v>171</v>
      </c>
      <c r="E2875" t="str">
        <f t="shared" si="426"/>
        <v>예로나</v>
      </c>
      <c r="H2875" t="str">
        <f t="shared" si="430"/>
        <v>스토리위즈</v>
      </c>
      <c r="I2875" t="str">
        <f t="shared" si="427"/>
        <v>기사가문 망나니는 10클래스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428"/>
        <v>9791165310370</v>
      </c>
      <c r="AV2875" t="str">
        <f t="shared" si="429"/>
        <v>판타지 웹소설 &gt; 퓨전 판타지</v>
      </c>
    </row>
    <row r="2876" spans="1:48" x14ac:dyDescent="0.4">
      <c r="A2876">
        <v>2313008150</v>
      </c>
      <c r="B2876">
        <v>2313008321</v>
      </c>
      <c r="C2876" t="str">
        <f>T("기사가문 망나니는 10클래스 172화")</f>
        <v>기사가문 망나니는 10클래스 172화</v>
      </c>
      <c r="D2876" t="str">
        <f>T("172")</f>
        <v>172</v>
      </c>
      <c r="E2876" t="str">
        <f t="shared" si="426"/>
        <v>예로나</v>
      </c>
      <c r="H2876" t="str">
        <f t="shared" si="430"/>
        <v>스토리위즈</v>
      </c>
      <c r="I2876" t="str">
        <f t="shared" si="427"/>
        <v>기사가문 망나니는 10클래스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70</v>
      </c>
      <c r="AT2876" t="str">
        <f t="shared" si="428"/>
        <v>9791165310370</v>
      </c>
      <c r="AV2876" t="str">
        <f t="shared" si="429"/>
        <v>판타지 웹소설 &gt; 퓨전 판타지</v>
      </c>
    </row>
    <row r="2877" spans="1:48" x14ac:dyDescent="0.4">
      <c r="A2877">
        <v>2313008150</v>
      </c>
      <c r="B2877">
        <v>2313008322</v>
      </c>
      <c r="C2877" t="str">
        <f>T("기사가문 망나니는 10클래스 173화")</f>
        <v>기사가문 망나니는 10클래스 173화</v>
      </c>
      <c r="D2877" t="str">
        <f>T("173")</f>
        <v>173</v>
      </c>
      <c r="E2877" t="str">
        <f t="shared" si="426"/>
        <v>예로나</v>
      </c>
      <c r="H2877" t="str">
        <f t="shared" si="430"/>
        <v>스토리위즈</v>
      </c>
      <c r="I2877" t="str">
        <f t="shared" si="427"/>
        <v>기사가문 망나니는 10클래스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70</v>
      </c>
      <c r="AT2877" t="str">
        <f t="shared" si="428"/>
        <v>9791165310370</v>
      </c>
      <c r="AV2877" t="str">
        <f t="shared" si="429"/>
        <v>판타지 웹소설 &gt; 퓨전 판타지</v>
      </c>
    </row>
    <row r="2878" spans="1:48" x14ac:dyDescent="0.4">
      <c r="A2878">
        <v>2313008150</v>
      </c>
      <c r="B2878">
        <v>2313008338</v>
      </c>
      <c r="C2878" t="str">
        <f>T("기사가문 망나니는 10클래스 174화")</f>
        <v>기사가문 망나니는 10클래스 174화</v>
      </c>
      <c r="D2878" t="str">
        <f>T("174")</f>
        <v>174</v>
      </c>
      <c r="E2878" t="str">
        <f t="shared" si="426"/>
        <v>예로나</v>
      </c>
      <c r="H2878" t="str">
        <f t="shared" si="430"/>
        <v>스토리위즈</v>
      </c>
      <c r="I2878" t="str">
        <f t="shared" si="427"/>
        <v>기사가문 망나니는 10클래스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70</v>
      </c>
      <c r="AT2878" t="str">
        <f t="shared" si="428"/>
        <v>9791165310370</v>
      </c>
      <c r="AV2878" t="str">
        <f t="shared" si="429"/>
        <v>판타지 웹소설 &gt; 퓨전 판타지</v>
      </c>
    </row>
    <row r="2879" spans="1:48" x14ac:dyDescent="0.4">
      <c r="A2879">
        <v>2313008150</v>
      </c>
      <c r="B2879">
        <v>2313008339</v>
      </c>
      <c r="C2879" t="str">
        <f>T("기사가문 망나니는 10클래스 175화")</f>
        <v>기사가문 망나니는 10클래스 175화</v>
      </c>
      <c r="D2879" t="str">
        <f>T("175")</f>
        <v>175</v>
      </c>
      <c r="E2879" t="str">
        <f t="shared" si="426"/>
        <v>예로나</v>
      </c>
      <c r="H2879" t="str">
        <f t="shared" si="430"/>
        <v>스토리위즈</v>
      </c>
      <c r="I2879" t="str">
        <f t="shared" si="427"/>
        <v>기사가문 망나니는 10클래스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70</v>
      </c>
      <c r="AT2879" t="str">
        <f t="shared" si="428"/>
        <v>9791165310370</v>
      </c>
      <c r="AV2879" t="str">
        <f t="shared" si="429"/>
        <v>판타지 웹소설 &gt; 퓨전 판타지</v>
      </c>
    </row>
    <row r="2880" spans="1:48" x14ac:dyDescent="0.4">
      <c r="A2880">
        <v>2313008150</v>
      </c>
      <c r="B2880">
        <v>2313008340</v>
      </c>
      <c r="C2880" t="str">
        <f>T("기사가문 망나니는 10클래스 176화")</f>
        <v>기사가문 망나니는 10클래스 176화</v>
      </c>
      <c r="D2880" t="str">
        <f>T("176")</f>
        <v>176</v>
      </c>
      <c r="E2880" t="str">
        <f t="shared" si="426"/>
        <v>예로나</v>
      </c>
      <c r="H2880" t="str">
        <f t="shared" si="430"/>
        <v>스토리위즈</v>
      </c>
      <c r="I2880" t="str">
        <f t="shared" si="427"/>
        <v>기사가문 망나니는 10클래스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70</v>
      </c>
      <c r="AT2880" t="str">
        <f t="shared" si="428"/>
        <v>9791165310370</v>
      </c>
      <c r="AV2880" t="str">
        <f t="shared" si="429"/>
        <v>판타지 웹소설 &gt; 퓨전 판타지</v>
      </c>
    </row>
    <row r="2881" spans="1:48" x14ac:dyDescent="0.4">
      <c r="A2881">
        <v>2313008150</v>
      </c>
      <c r="B2881">
        <v>2313008341</v>
      </c>
      <c r="C2881" t="str">
        <f>T("기사가문 망나니는 10클래스 177화")</f>
        <v>기사가문 망나니는 10클래스 177화</v>
      </c>
      <c r="D2881" t="str">
        <f>T("177")</f>
        <v>177</v>
      </c>
      <c r="E2881" t="str">
        <f t="shared" si="426"/>
        <v>예로나</v>
      </c>
      <c r="H2881" t="str">
        <f t="shared" si="430"/>
        <v>스토리위즈</v>
      </c>
      <c r="I2881" t="str">
        <f t="shared" si="427"/>
        <v>기사가문 망나니는 10클래스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70</v>
      </c>
      <c r="AT2881" t="str">
        <f t="shared" si="428"/>
        <v>9791165310370</v>
      </c>
      <c r="AV2881" t="str">
        <f t="shared" si="429"/>
        <v>판타지 웹소설 &gt; 퓨전 판타지</v>
      </c>
    </row>
    <row r="2882" spans="1:48" x14ac:dyDescent="0.4">
      <c r="A2882">
        <v>2313008150</v>
      </c>
      <c r="B2882">
        <v>2313008342</v>
      </c>
      <c r="C2882" t="str">
        <f>T("기사가문 망나니는 10클래스 178화")</f>
        <v>기사가문 망나니는 10클래스 178화</v>
      </c>
      <c r="D2882" t="str">
        <f>T("178")</f>
        <v>178</v>
      </c>
      <c r="E2882" t="str">
        <f t="shared" si="426"/>
        <v>예로나</v>
      </c>
      <c r="H2882" t="str">
        <f t="shared" si="430"/>
        <v>스토리위즈</v>
      </c>
      <c r="I2882" t="str">
        <f t="shared" si="427"/>
        <v>기사가문 망나니는 10클래스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70</v>
      </c>
      <c r="AT2882" t="str">
        <f t="shared" si="428"/>
        <v>9791165310370</v>
      </c>
      <c r="AV2882" t="str">
        <f t="shared" si="429"/>
        <v>판타지 웹소설 &gt; 퓨전 판타지</v>
      </c>
    </row>
    <row r="2883" spans="1:48" x14ac:dyDescent="0.4">
      <c r="A2883">
        <v>2313008150</v>
      </c>
      <c r="B2883">
        <v>2313008344</v>
      </c>
      <c r="C2883" t="str">
        <f>T("기사가문 망나니는 10클래스 179화")</f>
        <v>기사가문 망나니는 10클래스 179화</v>
      </c>
      <c r="D2883" t="str">
        <f>T("179")</f>
        <v>179</v>
      </c>
      <c r="E2883" t="str">
        <f t="shared" si="426"/>
        <v>예로나</v>
      </c>
      <c r="H2883" t="str">
        <f t="shared" si="430"/>
        <v>스토리위즈</v>
      </c>
      <c r="I2883" t="str">
        <f t="shared" si="427"/>
        <v>기사가문 망나니는 10클래스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70</v>
      </c>
      <c r="AT2883" t="str">
        <f t="shared" si="428"/>
        <v>9791165310370</v>
      </c>
      <c r="AV2883" t="str">
        <f t="shared" si="429"/>
        <v>판타지 웹소설 &gt; 퓨전 판타지</v>
      </c>
    </row>
    <row r="2884" spans="1:48" x14ac:dyDescent="0.4">
      <c r="A2884">
        <v>2313008150</v>
      </c>
      <c r="B2884">
        <v>2313008345</v>
      </c>
      <c r="C2884" t="str">
        <f>T("기사가문 망나니는 10클래스 180화")</f>
        <v>기사가문 망나니는 10클래스 180화</v>
      </c>
      <c r="D2884" t="str">
        <f>T("180")</f>
        <v>180</v>
      </c>
      <c r="E2884" t="str">
        <f t="shared" si="426"/>
        <v>예로나</v>
      </c>
      <c r="H2884" t="str">
        <f t="shared" si="430"/>
        <v>스토리위즈</v>
      </c>
      <c r="I2884" t="str">
        <f t="shared" si="427"/>
        <v>기사가문 망나니는 10클래스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70</v>
      </c>
      <c r="AT2884" t="str">
        <f t="shared" si="428"/>
        <v>9791165310370</v>
      </c>
      <c r="AV2884" t="str">
        <f t="shared" si="429"/>
        <v>판타지 웹소설 &gt; 퓨전 판타지</v>
      </c>
    </row>
    <row r="2885" spans="1:48" x14ac:dyDescent="0.4">
      <c r="A2885">
        <v>2313008150</v>
      </c>
      <c r="B2885">
        <v>2313008348</v>
      </c>
      <c r="C2885" t="str">
        <f>T("기사가문 망나니는 10클래스 181화")</f>
        <v>기사가문 망나니는 10클래스 181화</v>
      </c>
      <c r="D2885" t="str">
        <f>T("181")</f>
        <v>181</v>
      </c>
      <c r="E2885" t="str">
        <f t="shared" si="426"/>
        <v>예로나</v>
      </c>
      <c r="H2885" t="str">
        <f t="shared" si="430"/>
        <v>스토리위즈</v>
      </c>
      <c r="I2885" t="str">
        <f t="shared" si="427"/>
        <v>기사가문 망나니는 10클래스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70</v>
      </c>
      <c r="AT2885" t="str">
        <f t="shared" si="428"/>
        <v>9791165310370</v>
      </c>
      <c r="AV2885" t="str">
        <f t="shared" si="429"/>
        <v>판타지 웹소설 &gt; 퓨전 판타지</v>
      </c>
    </row>
    <row r="2886" spans="1:48" x14ac:dyDescent="0.4">
      <c r="A2886">
        <v>2313008150</v>
      </c>
      <c r="B2886">
        <v>2313008350</v>
      </c>
      <c r="C2886" t="str">
        <f>T("기사가문 망나니는 10클래스 182화")</f>
        <v>기사가문 망나니는 10클래스 182화</v>
      </c>
      <c r="D2886" t="str">
        <f>T("182")</f>
        <v>182</v>
      </c>
      <c r="E2886" t="str">
        <f t="shared" si="426"/>
        <v>예로나</v>
      </c>
      <c r="H2886" t="str">
        <f t="shared" si="430"/>
        <v>스토리위즈</v>
      </c>
      <c r="I2886" t="str">
        <f t="shared" si="427"/>
        <v>기사가문 망나니는 10클래스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70</v>
      </c>
      <c r="AT2886" t="str">
        <f t="shared" si="428"/>
        <v>9791165310370</v>
      </c>
      <c r="AV2886" t="str">
        <f t="shared" si="429"/>
        <v>판타지 웹소설 &gt; 퓨전 판타지</v>
      </c>
    </row>
    <row r="2887" spans="1:48" x14ac:dyDescent="0.4">
      <c r="A2887">
        <v>2313008150</v>
      </c>
      <c r="B2887">
        <v>2313008352</v>
      </c>
      <c r="C2887" t="str">
        <f>T("기사가문 망나니는 10클래스 183화")</f>
        <v>기사가문 망나니는 10클래스 183화</v>
      </c>
      <c r="D2887" t="str">
        <f>T("183")</f>
        <v>183</v>
      </c>
      <c r="E2887" t="str">
        <f t="shared" si="426"/>
        <v>예로나</v>
      </c>
      <c r="H2887" t="str">
        <f t="shared" si="430"/>
        <v>스토리위즈</v>
      </c>
      <c r="I2887" t="str">
        <f t="shared" si="427"/>
        <v>기사가문 망나니는 10클래스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70</v>
      </c>
      <c r="AT2887" t="str">
        <f t="shared" si="428"/>
        <v>9791165310370</v>
      </c>
      <c r="AV2887" t="str">
        <f t="shared" si="429"/>
        <v>판타지 웹소설 &gt; 퓨전 판타지</v>
      </c>
    </row>
    <row r="2888" spans="1:48" x14ac:dyDescent="0.4">
      <c r="A2888">
        <v>2313008150</v>
      </c>
      <c r="B2888">
        <v>2313008354</v>
      </c>
      <c r="C2888" t="str">
        <f>T("기사가문 망나니는 10클래스 184화")</f>
        <v>기사가문 망나니는 10클래스 184화</v>
      </c>
      <c r="D2888" t="str">
        <f>T("184")</f>
        <v>184</v>
      </c>
      <c r="E2888" t="str">
        <f t="shared" si="426"/>
        <v>예로나</v>
      </c>
      <c r="H2888" t="str">
        <f t="shared" si="430"/>
        <v>스토리위즈</v>
      </c>
      <c r="I2888" t="str">
        <f t="shared" si="427"/>
        <v>기사가문 망나니는 10클래스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428"/>
        <v>9791165310370</v>
      </c>
      <c r="AV2888" t="str">
        <f t="shared" si="429"/>
        <v>판타지 웹소설 &gt; 퓨전 판타지</v>
      </c>
    </row>
    <row r="2889" spans="1:48" x14ac:dyDescent="0.4">
      <c r="A2889">
        <v>2313008150</v>
      </c>
      <c r="B2889">
        <v>2313008355</v>
      </c>
      <c r="C2889" t="str">
        <f>T("기사가문 망나니는 10클래스 185화")</f>
        <v>기사가문 망나니는 10클래스 185화</v>
      </c>
      <c r="D2889" t="str">
        <f>T("185")</f>
        <v>185</v>
      </c>
      <c r="E2889" t="str">
        <f t="shared" si="426"/>
        <v>예로나</v>
      </c>
      <c r="H2889" t="str">
        <f t="shared" si="430"/>
        <v>스토리위즈</v>
      </c>
      <c r="I2889" t="str">
        <f t="shared" si="427"/>
        <v>기사가문 망나니는 10클래스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428"/>
        <v>9791165310370</v>
      </c>
      <c r="AV2889" t="str">
        <f t="shared" si="429"/>
        <v>판타지 웹소설 &gt; 퓨전 판타지</v>
      </c>
    </row>
    <row r="2890" spans="1:48" x14ac:dyDescent="0.4">
      <c r="A2890">
        <v>2313008150</v>
      </c>
      <c r="B2890">
        <v>2313008357</v>
      </c>
      <c r="C2890" t="str">
        <f>T("기사가문 망나니는 10클래스 186화")</f>
        <v>기사가문 망나니는 10클래스 186화</v>
      </c>
      <c r="D2890" t="str">
        <f>T("186")</f>
        <v>186</v>
      </c>
      <c r="E2890" t="str">
        <f t="shared" si="426"/>
        <v>예로나</v>
      </c>
      <c r="H2890" t="str">
        <f t="shared" si="430"/>
        <v>스토리위즈</v>
      </c>
      <c r="I2890" t="str">
        <f t="shared" si="427"/>
        <v>기사가문 망나니는 10클래스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428"/>
        <v>9791165310370</v>
      </c>
      <c r="AV2890" t="str">
        <f t="shared" si="429"/>
        <v>판타지 웹소설 &gt; 퓨전 판타지</v>
      </c>
    </row>
    <row r="2891" spans="1:48" x14ac:dyDescent="0.4">
      <c r="A2891">
        <v>2313008150</v>
      </c>
      <c r="B2891">
        <v>2313008359</v>
      </c>
      <c r="C2891" t="str">
        <f>T("기사가문 망나니는 10클래스 187화")</f>
        <v>기사가문 망나니는 10클래스 187화</v>
      </c>
      <c r="D2891" t="str">
        <f>T("187")</f>
        <v>187</v>
      </c>
      <c r="E2891" t="str">
        <f t="shared" si="426"/>
        <v>예로나</v>
      </c>
      <c r="H2891" t="str">
        <f t="shared" si="430"/>
        <v>스토리위즈</v>
      </c>
      <c r="I2891" t="str">
        <f t="shared" si="427"/>
        <v>기사가문 망나니는 10클래스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428"/>
        <v>9791165310370</v>
      </c>
      <c r="AV2891" t="str">
        <f t="shared" si="429"/>
        <v>판타지 웹소설 &gt; 퓨전 판타지</v>
      </c>
    </row>
    <row r="2892" spans="1:48" x14ac:dyDescent="0.4">
      <c r="A2892">
        <v>2313008150</v>
      </c>
      <c r="B2892">
        <v>2313008361</v>
      </c>
      <c r="C2892" t="str">
        <f>T("기사가문 망나니는 10클래스 188화")</f>
        <v>기사가문 망나니는 10클래스 188화</v>
      </c>
      <c r="D2892" t="str">
        <f>T("188")</f>
        <v>188</v>
      </c>
      <c r="E2892" t="str">
        <f t="shared" si="426"/>
        <v>예로나</v>
      </c>
      <c r="H2892" t="str">
        <f t="shared" si="430"/>
        <v>스토리위즈</v>
      </c>
      <c r="I2892" t="str">
        <f t="shared" si="427"/>
        <v>기사가문 망나니는 10클래스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si="428"/>
        <v>9791165310370</v>
      </c>
      <c r="AV2892" t="str">
        <f t="shared" si="429"/>
        <v>판타지 웹소설 &gt; 퓨전 판타지</v>
      </c>
    </row>
    <row r="2893" spans="1:48" x14ac:dyDescent="0.4">
      <c r="A2893">
        <v>2313008150</v>
      </c>
      <c r="B2893">
        <v>2313008363</v>
      </c>
      <c r="C2893" t="str">
        <f>T("기사가문 망나니는 10클래스 189화")</f>
        <v>기사가문 망나니는 10클래스 189화</v>
      </c>
      <c r="D2893" t="str">
        <f>T("189")</f>
        <v>189</v>
      </c>
      <c r="E2893" t="str">
        <f t="shared" si="426"/>
        <v>예로나</v>
      </c>
      <c r="H2893" t="str">
        <f t="shared" si="430"/>
        <v>스토리위즈</v>
      </c>
      <c r="I2893" t="str">
        <f t="shared" si="427"/>
        <v>기사가문 망나니는 10클래스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 t="shared" si="428"/>
        <v>9791165310370</v>
      </c>
      <c r="AV2893" t="str">
        <f t="shared" si="429"/>
        <v>판타지 웹소설 &gt; 퓨전 판타지</v>
      </c>
    </row>
    <row r="2894" spans="1:48" x14ac:dyDescent="0.4">
      <c r="A2894">
        <v>2313008150</v>
      </c>
      <c r="B2894">
        <v>2313008364</v>
      </c>
      <c r="C2894" t="str">
        <f>T("기사가문 망나니는 10클래스 190화")</f>
        <v>기사가문 망나니는 10클래스 190화</v>
      </c>
      <c r="D2894" t="str">
        <f>T("190")</f>
        <v>190</v>
      </c>
      <c r="E2894" t="str">
        <f t="shared" si="426"/>
        <v>예로나</v>
      </c>
      <c r="H2894" t="str">
        <f t="shared" si="430"/>
        <v>스토리위즈</v>
      </c>
      <c r="I2894" t="str">
        <f t="shared" si="427"/>
        <v>기사가문 망나니는 10클래스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 t="shared" si="428"/>
        <v>9791165310370</v>
      </c>
      <c r="AV2894" t="str">
        <f t="shared" si="429"/>
        <v>판타지 웹소설 &gt; 퓨전 판타지</v>
      </c>
    </row>
    <row r="2895" spans="1:48" x14ac:dyDescent="0.4">
      <c r="A2895">
        <v>2313008150</v>
      </c>
      <c r="B2895">
        <v>2313008367</v>
      </c>
      <c r="C2895" t="str">
        <f>T("기사가문 망나니는 10클래스 191화")</f>
        <v>기사가문 망나니는 10클래스 191화</v>
      </c>
      <c r="D2895" t="str">
        <f>T("191")</f>
        <v>191</v>
      </c>
      <c r="E2895" t="str">
        <f t="shared" si="426"/>
        <v>예로나</v>
      </c>
      <c r="H2895" t="str">
        <f t="shared" si="430"/>
        <v>스토리위즈</v>
      </c>
      <c r="I2895" t="str">
        <f t="shared" si="427"/>
        <v>기사가문 망나니는 10클래스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si="428"/>
        <v>9791165310370</v>
      </c>
      <c r="AV2895" t="str">
        <f t="shared" si="429"/>
        <v>판타지 웹소설 &gt; 퓨전 판타지</v>
      </c>
    </row>
    <row r="2896" spans="1:48" x14ac:dyDescent="0.4">
      <c r="A2896">
        <v>2313008150</v>
      </c>
      <c r="B2896">
        <v>2313008369</v>
      </c>
      <c r="C2896" t="str">
        <f>T("기사가문 망나니는 10클래스 192화")</f>
        <v>기사가문 망나니는 10클래스 192화</v>
      </c>
      <c r="D2896" t="str">
        <f>T("192")</f>
        <v>192</v>
      </c>
      <c r="E2896" t="str">
        <f t="shared" si="426"/>
        <v>예로나</v>
      </c>
      <c r="H2896" t="str">
        <f t="shared" si="430"/>
        <v>스토리위즈</v>
      </c>
      <c r="I2896" t="str">
        <f t="shared" si="427"/>
        <v>기사가문 망나니는 10클래스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428"/>
        <v>9791165310370</v>
      </c>
      <c r="AV2896" t="str">
        <f t="shared" si="429"/>
        <v>판타지 웹소설 &gt; 퓨전 판타지</v>
      </c>
    </row>
    <row r="2897" spans="1:48" x14ac:dyDescent="0.4">
      <c r="A2897">
        <v>2313008150</v>
      </c>
      <c r="B2897">
        <v>2313008370</v>
      </c>
      <c r="C2897" t="str">
        <f>T("기사가문 망나니는 10클래스 193화")</f>
        <v>기사가문 망나니는 10클래스 193화</v>
      </c>
      <c r="D2897" t="str">
        <f>T("193")</f>
        <v>193</v>
      </c>
      <c r="E2897" t="str">
        <f t="shared" si="426"/>
        <v>예로나</v>
      </c>
      <c r="H2897" t="str">
        <f t="shared" si="430"/>
        <v>스토리위즈</v>
      </c>
      <c r="I2897" t="str">
        <f t="shared" si="427"/>
        <v>기사가문 망나니는 10클래스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428"/>
        <v>9791165310370</v>
      </c>
      <c r="AV2897" t="str">
        <f t="shared" si="429"/>
        <v>판타지 웹소설 &gt; 퓨전 판타지</v>
      </c>
    </row>
    <row r="2898" spans="1:48" x14ac:dyDescent="0.4">
      <c r="A2898">
        <v>2313008150</v>
      </c>
      <c r="B2898">
        <v>2313008372</v>
      </c>
      <c r="C2898" t="str">
        <f>T("기사가문 망나니는 10클래스 194화")</f>
        <v>기사가문 망나니는 10클래스 194화</v>
      </c>
      <c r="D2898" t="str">
        <f>T("194")</f>
        <v>194</v>
      </c>
      <c r="E2898" t="str">
        <f t="shared" si="426"/>
        <v>예로나</v>
      </c>
      <c r="H2898" t="str">
        <f t="shared" si="430"/>
        <v>스토리위즈</v>
      </c>
      <c r="I2898" t="str">
        <f t="shared" si="427"/>
        <v>기사가문 망나니는 10클래스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428"/>
        <v>9791165310370</v>
      </c>
      <c r="AV2898" t="str">
        <f t="shared" si="429"/>
        <v>판타지 웹소설 &gt; 퓨전 판타지</v>
      </c>
    </row>
    <row r="2899" spans="1:48" x14ac:dyDescent="0.4">
      <c r="A2899">
        <v>2313008150</v>
      </c>
      <c r="B2899">
        <v>2313008374</v>
      </c>
      <c r="C2899" t="str">
        <f>T("기사가문 망나니는 10클래스 195화")</f>
        <v>기사가문 망나니는 10클래스 195화</v>
      </c>
      <c r="D2899" t="str">
        <f>T("195")</f>
        <v>195</v>
      </c>
      <c r="E2899" t="str">
        <f t="shared" si="426"/>
        <v>예로나</v>
      </c>
      <c r="H2899" t="str">
        <f t="shared" si="430"/>
        <v>스토리위즈</v>
      </c>
      <c r="I2899" t="str">
        <f t="shared" si="427"/>
        <v>기사가문 망나니는 10클래스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70</v>
      </c>
      <c r="AT2899" t="str">
        <f t="shared" si="428"/>
        <v>9791165310370</v>
      </c>
      <c r="AV2899" t="str">
        <f t="shared" si="429"/>
        <v>판타지 웹소설 &gt; 퓨전 판타지</v>
      </c>
    </row>
    <row r="2900" spans="1:48" x14ac:dyDescent="0.4">
      <c r="A2900">
        <v>2313008150</v>
      </c>
      <c r="B2900">
        <v>2313008375</v>
      </c>
      <c r="C2900" t="str">
        <f>T("기사가문 망나니는 10클래스 196화")</f>
        <v>기사가문 망나니는 10클래스 196화</v>
      </c>
      <c r="D2900" t="str">
        <f>T("196")</f>
        <v>196</v>
      </c>
      <c r="E2900" t="str">
        <f t="shared" si="426"/>
        <v>예로나</v>
      </c>
      <c r="H2900" t="str">
        <f t="shared" si="430"/>
        <v>스토리위즈</v>
      </c>
      <c r="I2900" t="str">
        <f t="shared" si="427"/>
        <v>기사가문 망나니는 10클래스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70</v>
      </c>
      <c r="AT2900" t="str">
        <f t="shared" si="428"/>
        <v>9791165310370</v>
      </c>
      <c r="AV2900" t="str">
        <f t="shared" si="429"/>
        <v>판타지 웹소설 &gt; 퓨전 판타지</v>
      </c>
    </row>
    <row r="2901" spans="1:48" x14ac:dyDescent="0.4">
      <c r="A2901">
        <v>2313008438</v>
      </c>
      <c r="B2901">
        <v>2313008463</v>
      </c>
      <c r="C2901" t="str">
        <f>T("말빨 26화")</f>
        <v>말빨 26화</v>
      </c>
      <c r="D2901" t="str">
        <f>T("26")</f>
        <v>26</v>
      </c>
      <c r="E2901" t="str">
        <f t="shared" ref="E2901:E2924" si="431">T("이동열")</f>
        <v>이동열</v>
      </c>
      <c r="H2901" t="str">
        <f t="shared" si="430"/>
        <v>스토리위즈</v>
      </c>
      <c r="I2901" t="str">
        <f t="shared" ref="I2901:I2924" si="432">T("말빨")</f>
        <v>말빨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70</v>
      </c>
      <c r="AT2901" t="str">
        <f t="shared" ref="AT2901:AT2924" si="433">T("9791165310820")</f>
        <v>9791165310820</v>
      </c>
      <c r="AV2901" t="str">
        <f t="shared" si="429"/>
        <v>판타지 웹소설 &gt; 퓨전 판타지</v>
      </c>
    </row>
    <row r="2902" spans="1:48" x14ac:dyDescent="0.4">
      <c r="A2902">
        <v>2313008438</v>
      </c>
      <c r="B2902">
        <v>2313008464</v>
      </c>
      <c r="C2902" t="str">
        <f>T("말빨 27화")</f>
        <v>말빨 27화</v>
      </c>
      <c r="D2902" t="str">
        <f>T("27")</f>
        <v>27</v>
      </c>
      <c r="E2902" t="str">
        <f t="shared" si="431"/>
        <v>이동열</v>
      </c>
      <c r="H2902" t="str">
        <f t="shared" si="430"/>
        <v>스토리위즈</v>
      </c>
      <c r="I2902" t="str">
        <f t="shared" si="432"/>
        <v>말빨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70</v>
      </c>
      <c r="AT2902" t="str">
        <f t="shared" si="433"/>
        <v>9791165310820</v>
      </c>
      <c r="AV2902" t="str">
        <f t="shared" si="429"/>
        <v>판타지 웹소설 &gt; 퓨전 판타지</v>
      </c>
    </row>
    <row r="2903" spans="1:48" x14ac:dyDescent="0.4">
      <c r="A2903">
        <v>2313008438</v>
      </c>
      <c r="B2903">
        <v>2313008465</v>
      </c>
      <c r="C2903" t="str">
        <f>T("말빨 28화")</f>
        <v>말빨 28화</v>
      </c>
      <c r="D2903" t="str">
        <f>T("28")</f>
        <v>28</v>
      </c>
      <c r="E2903" t="str">
        <f t="shared" si="431"/>
        <v>이동열</v>
      </c>
      <c r="H2903" t="str">
        <f t="shared" si="430"/>
        <v>스토리위즈</v>
      </c>
      <c r="I2903" t="str">
        <f t="shared" si="432"/>
        <v>말빨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T2903" t="str">
        <f t="shared" si="433"/>
        <v>9791165310820</v>
      </c>
      <c r="AV2903" t="str">
        <f t="shared" si="429"/>
        <v>판타지 웹소설 &gt; 퓨전 판타지</v>
      </c>
    </row>
    <row r="2904" spans="1:48" x14ac:dyDescent="0.4">
      <c r="A2904">
        <v>2313008438</v>
      </c>
      <c r="B2904">
        <v>2313008466</v>
      </c>
      <c r="C2904" t="str">
        <f>T("말빨 29화")</f>
        <v>말빨 29화</v>
      </c>
      <c r="D2904" t="str">
        <f>T("29")</f>
        <v>29</v>
      </c>
      <c r="E2904" t="str">
        <f t="shared" si="431"/>
        <v>이동열</v>
      </c>
      <c r="H2904" t="str">
        <f t="shared" si="430"/>
        <v>스토리위즈</v>
      </c>
      <c r="I2904" t="str">
        <f t="shared" si="432"/>
        <v>말빨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70</v>
      </c>
      <c r="AT2904" t="str">
        <f t="shared" si="433"/>
        <v>9791165310820</v>
      </c>
      <c r="AV2904" t="str">
        <f t="shared" si="429"/>
        <v>판타지 웹소설 &gt; 퓨전 판타지</v>
      </c>
    </row>
    <row r="2905" spans="1:48" x14ac:dyDescent="0.4">
      <c r="A2905">
        <v>2313008438</v>
      </c>
      <c r="B2905">
        <v>2313008467</v>
      </c>
      <c r="C2905" t="str">
        <f>T("말빨 30화")</f>
        <v>말빨 30화</v>
      </c>
      <c r="D2905" t="str">
        <f>T("30")</f>
        <v>30</v>
      </c>
      <c r="E2905" t="str">
        <f t="shared" si="431"/>
        <v>이동열</v>
      </c>
      <c r="H2905" t="str">
        <f t="shared" si="430"/>
        <v>스토리위즈</v>
      </c>
      <c r="I2905" t="str">
        <f t="shared" si="432"/>
        <v>말빨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70</v>
      </c>
      <c r="AT2905" t="str">
        <f t="shared" si="433"/>
        <v>9791165310820</v>
      </c>
      <c r="AV2905" t="str">
        <f t="shared" si="429"/>
        <v>판타지 웹소설 &gt; 퓨전 판타지</v>
      </c>
    </row>
    <row r="2906" spans="1:48" x14ac:dyDescent="0.4">
      <c r="A2906">
        <v>2313008438</v>
      </c>
      <c r="B2906">
        <v>2313008468</v>
      </c>
      <c r="C2906" t="str">
        <f>T("말빨 31화")</f>
        <v>말빨 31화</v>
      </c>
      <c r="D2906" t="str">
        <f>T("31")</f>
        <v>31</v>
      </c>
      <c r="E2906" t="str">
        <f t="shared" si="431"/>
        <v>이동열</v>
      </c>
      <c r="H2906" t="str">
        <f t="shared" si="430"/>
        <v>스토리위즈</v>
      </c>
      <c r="I2906" t="str">
        <f t="shared" si="432"/>
        <v>말빨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70</v>
      </c>
      <c r="AT2906" t="str">
        <f t="shared" si="433"/>
        <v>9791165310820</v>
      </c>
      <c r="AV2906" t="str">
        <f t="shared" si="429"/>
        <v>판타지 웹소설 &gt; 퓨전 판타지</v>
      </c>
    </row>
    <row r="2907" spans="1:48" x14ac:dyDescent="0.4">
      <c r="A2907">
        <v>2313008438</v>
      </c>
      <c r="B2907">
        <v>2313008469</v>
      </c>
      <c r="C2907" t="str">
        <f>T("말빨 32화")</f>
        <v>말빨 32화</v>
      </c>
      <c r="D2907" t="str">
        <f>T("32")</f>
        <v>32</v>
      </c>
      <c r="E2907" t="str">
        <f t="shared" si="431"/>
        <v>이동열</v>
      </c>
      <c r="H2907" t="str">
        <f t="shared" si="430"/>
        <v>스토리위즈</v>
      </c>
      <c r="I2907" t="str">
        <f t="shared" si="432"/>
        <v>말빨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70</v>
      </c>
      <c r="AT2907" t="str">
        <f t="shared" si="433"/>
        <v>9791165310820</v>
      </c>
      <c r="AV2907" t="str">
        <f t="shared" si="429"/>
        <v>판타지 웹소설 &gt; 퓨전 판타지</v>
      </c>
    </row>
    <row r="2908" spans="1:48" x14ac:dyDescent="0.4">
      <c r="A2908">
        <v>2313008438</v>
      </c>
      <c r="B2908">
        <v>2313008470</v>
      </c>
      <c r="C2908" t="str">
        <f>T("말빨 33화")</f>
        <v>말빨 33화</v>
      </c>
      <c r="D2908" t="str">
        <f>T("33")</f>
        <v>33</v>
      </c>
      <c r="E2908" t="str">
        <f t="shared" si="431"/>
        <v>이동열</v>
      </c>
      <c r="H2908" t="str">
        <f t="shared" si="430"/>
        <v>스토리위즈</v>
      </c>
      <c r="I2908" t="str">
        <f t="shared" si="432"/>
        <v>말빨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70</v>
      </c>
      <c r="AT2908" t="str">
        <f t="shared" si="433"/>
        <v>9791165310820</v>
      </c>
      <c r="AV2908" t="str">
        <f t="shared" si="429"/>
        <v>판타지 웹소설 &gt; 퓨전 판타지</v>
      </c>
    </row>
    <row r="2909" spans="1:48" x14ac:dyDescent="0.4">
      <c r="A2909">
        <v>2313008438</v>
      </c>
      <c r="B2909">
        <v>2313008471</v>
      </c>
      <c r="C2909" t="str">
        <f>T("말빨 34화")</f>
        <v>말빨 34화</v>
      </c>
      <c r="D2909" t="str">
        <f>T("34")</f>
        <v>34</v>
      </c>
      <c r="E2909" t="str">
        <f t="shared" si="431"/>
        <v>이동열</v>
      </c>
      <c r="H2909" t="str">
        <f t="shared" si="430"/>
        <v>스토리위즈</v>
      </c>
      <c r="I2909" t="str">
        <f t="shared" si="432"/>
        <v>말빨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70</v>
      </c>
      <c r="AT2909" t="str">
        <f t="shared" si="433"/>
        <v>9791165310820</v>
      </c>
      <c r="AV2909" t="str">
        <f t="shared" si="429"/>
        <v>판타지 웹소설 &gt; 퓨전 판타지</v>
      </c>
    </row>
    <row r="2910" spans="1:48" x14ac:dyDescent="0.4">
      <c r="A2910">
        <v>2313008438</v>
      </c>
      <c r="B2910">
        <v>2313008472</v>
      </c>
      <c r="C2910" t="str">
        <f>T("말빨 35화")</f>
        <v>말빨 35화</v>
      </c>
      <c r="D2910" t="str">
        <f>T("35")</f>
        <v>35</v>
      </c>
      <c r="E2910" t="str">
        <f t="shared" si="431"/>
        <v>이동열</v>
      </c>
      <c r="H2910" t="str">
        <f t="shared" si="430"/>
        <v>스토리위즈</v>
      </c>
      <c r="I2910" t="str">
        <f t="shared" si="432"/>
        <v>말빨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70</v>
      </c>
      <c r="AT2910" t="str">
        <f t="shared" si="433"/>
        <v>9791165310820</v>
      </c>
      <c r="AV2910" t="str">
        <f t="shared" si="429"/>
        <v>판타지 웹소설 &gt; 퓨전 판타지</v>
      </c>
    </row>
    <row r="2911" spans="1:48" x14ac:dyDescent="0.4">
      <c r="A2911">
        <v>2313008438</v>
      </c>
      <c r="B2911">
        <v>2313008473</v>
      </c>
      <c r="C2911" t="str">
        <f>T("말빨 36화")</f>
        <v>말빨 36화</v>
      </c>
      <c r="D2911" t="str">
        <f>T("36")</f>
        <v>36</v>
      </c>
      <c r="E2911" t="str">
        <f t="shared" si="431"/>
        <v>이동열</v>
      </c>
      <c r="H2911" t="str">
        <f t="shared" si="430"/>
        <v>스토리위즈</v>
      </c>
      <c r="I2911" t="str">
        <f t="shared" si="432"/>
        <v>말빨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70</v>
      </c>
      <c r="AT2911" t="str">
        <f t="shared" si="433"/>
        <v>9791165310820</v>
      </c>
      <c r="AV2911" t="str">
        <f t="shared" si="429"/>
        <v>판타지 웹소설 &gt; 퓨전 판타지</v>
      </c>
    </row>
    <row r="2912" spans="1:48" x14ac:dyDescent="0.4">
      <c r="A2912">
        <v>2313008438</v>
      </c>
      <c r="B2912">
        <v>2313008474</v>
      </c>
      <c r="C2912" t="str">
        <f>T("말빨 37화")</f>
        <v>말빨 37화</v>
      </c>
      <c r="D2912" t="str">
        <f>T("37")</f>
        <v>37</v>
      </c>
      <c r="E2912" t="str">
        <f t="shared" si="431"/>
        <v>이동열</v>
      </c>
      <c r="H2912" t="str">
        <f t="shared" si="430"/>
        <v>스토리위즈</v>
      </c>
      <c r="I2912" t="str">
        <f t="shared" si="432"/>
        <v>말빨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70</v>
      </c>
      <c r="AT2912" t="str">
        <f t="shared" si="433"/>
        <v>9791165310820</v>
      </c>
      <c r="AV2912" t="str">
        <f t="shared" si="429"/>
        <v>판타지 웹소설 &gt; 퓨전 판타지</v>
      </c>
    </row>
    <row r="2913" spans="1:48" x14ac:dyDescent="0.4">
      <c r="A2913">
        <v>2313008438</v>
      </c>
      <c r="B2913">
        <v>2313008475</v>
      </c>
      <c r="C2913" t="str">
        <f>T("말빨 38화")</f>
        <v>말빨 38화</v>
      </c>
      <c r="D2913" t="str">
        <f>T("38")</f>
        <v>38</v>
      </c>
      <c r="E2913" t="str">
        <f t="shared" si="431"/>
        <v>이동열</v>
      </c>
      <c r="H2913" t="str">
        <f t="shared" si="430"/>
        <v>스토리위즈</v>
      </c>
      <c r="I2913" t="str">
        <f t="shared" si="432"/>
        <v>말빨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70</v>
      </c>
      <c r="AT2913" t="str">
        <f t="shared" si="433"/>
        <v>9791165310820</v>
      </c>
      <c r="AV2913" t="str">
        <f t="shared" si="429"/>
        <v>판타지 웹소설 &gt; 퓨전 판타지</v>
      </c>
    </row>
    <row r="2914" spans="1:48" x14ac:dyDescent="0.4">
      <c r="A2914">
        <v>2313008438</v>
      </c>
      <c r="B2914">
        <v>2313008476</v>
      </c>
      <c r="C2914" t="str">
        <f>T("말빨 39화")</f>
        <v>말빨 39화</v>
      </c>
      <c r="D2914" t="str">
        <f>T("39")</f>
        <v>39</v>
      </c>
      <c r="E2914" t="str">
        <f t="shared" si="431"/>
        <v>이동열</v>
      </c>
      <c r="H2914" t="str">
        <f t="shared" si="430"/>
        <v>스토리위즈</v>
      </c>
      <c r="I2914" t="str">
        <f t="shared" si="432"/>
        <v>말빨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70</v>
      </c>
      <c r="AT2914" t="str">
        <f t="shared" si="433"/>
        <v>9791165310820</v>
      </c>
      <c r="AV2914" t="str">
        <f t="shared" si="429"/>
        <v>판타지 웹소설 &gt; 퓨전 판타지</v>
      </c>
    </row>
    <row r="2915" spans="1:48" x14ac:dyDescent="0.4">
      <c r="A2915">
        <v>2313008438</v>
      </c>
      <c r="B2915">
        <v>2313008477</v>
      </c>
      <c r="C2915" t="str">
        <f>T("말빨 40화")</f>
        <v>말빨 40화</v>
      </c>
      <c r="D2915" t="str">
        <f>T("40")</f>
        <v>40</v>
      </c>
      <c r="E2915" t="str">
        <f t="shared" si="431"/>
        <v>이동열</v>
      </c>
      <c r="H2915" t="str">
        <f t="shared" si="430"/>
        <v>스토리위즈</v>
      </c>
      <c r="I2915" t="str">
        <f t="shared" si="432"/>
        <v>말빨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70</v>
      </c>
      <c r="AT2915" t="str">
        <f t="shared" si="433"/>
        <v>9791165310820</v>
      </c>
      <c r="AV2915" t="str">
        <f t="shared" si="429"/>
        <v>판타지 웹소설 &gt; 퓨전 판타지</v>
      </c>
    </row>
    <row r="2916" spans="1:48" x14ac:dyDescent="0.4">
      <c r="A2916">
        <v>2313008438</v>
      </c>
      <c r="B2916">
        <v>2313008478</v>
      </c>
      <c r="C2916" t="str">
        <f>T("말빨 41화")</f>
        <v>말빨 41화</v>
      </c>
      <c r="D2916" t="str">
        <f>T("41")</f>
        <v>41</v>
      </c>
      <c r="E2916" t="str">
        <f t="shared" si="431"/>
        <v>이동열</v>
      </c>
      <c r="H2916" t="str">
        <f t="shared" si="430"/>
        <v>스토리위즈</v>
      </c>
      <c r="I2916" t="str">
        <f t="shared" si="432"/>
        <v>말빨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70</v>
      </c>
      <c r="AT2916" t="str">
        <f t="shared" si="433"/>
        <v>9791165310820</v>
      </c>
      <c r="AV2916" t="str">
        <f t="shared" si="429"/>
        <v>판타지 웹소설 &gt; 퓨전 판타지</v>
      </c>
    </row>
    <row r="2917" spans="1:48" x14ac:dyDescent="0.4">
      <c r="A2917">
        <v>2313008438</v>
      </c>
      <c r="B2917">
        <v>2313008479</v>
      </c>
      <c r="C2917" t="str">
        <f>T("말빨 42화")</f>
        <v>말빨 42화</v>
      </c>
      <c r="D2917" t="str">
        <f>T("42")</f>
        <v>42</v>
      </c>
      <c r="E2917" t="str">
        <f t="shared" si="431"/>
        <v>이동열</v>
      </c>
      <c r="H2917" t="str">
        <f t="shared" si="430"/>
        <v>스토리위즈</v>
      </c>
      <c r="I2917" t="str">
        <f t="shared" si="432"/>
        <v>말빨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70</v>
      </c>
      <c r="AT2917" t="str">
        <f t="shared" si="433"/>
        <v>9791165310820</v>
      </c>
      <c r="AV2917" t="str">
        <f t="shared" si="429"/>
        <v>판타지 웹소설 &gt; 퓨전 판타지</v>
      </c>
    </row>
    <row r="2918" spans="1:48" x14ac:dyDescent="0.4">
      <c r="A2918">
        <v>2313008438</v>
      </c>
      <c r="B2918">
        <v>2313008480</v>
      </c>
      <c r="C2918" t="str">
        <f>T("말빨 43화")</f>
        <v>말빨 43화</v>
      </c>
      <c r="D2918" t="str">
        <f>T("43")</f>
        <v>43</v>
      </c>
      <c r="E2918" t="str">
        <f t="shared" si="431"/>
        <v>이동열</v>
      </c>
      <c r="H2918" t="str">
        <f t="shared" si="430"/>
        <v>스토리위즈</v>
      </c>
      <c r="I2918" t="str">
        <f t="shared" si="432"/>
        <v>말빨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70</v>
      </c>
      <c r="AT2918" t="str">
        <f t="shared" si="433"/>
        <v>9791165310820</v>
      </c>
      <c r="AV2918" t="str">
        <f t="shared" si="429"/>
        <v>판타지 웹소설 &gt; 퓨전 판타지</v>
      </c>
    </row>
    <row r="2919" spans="1:48" x14ac:dyDescent="0.4">
      <c r="A2919">
        <v>2313008438</v>
      </c>
      <c r="B2919">
        <v>2313008481</v>
      </c>
      <c r="C2919" t="str">
        <f>T("말빨 44화")</f>
        <v>말빨 44화</v>
      </c>
      <c r="D2919" t="str">
        <f>T("44")</f>
        <v>44</v>
      </c>
      <c r="E2919" t="str">
        <f t="shared" si="431"/>
        <v>이동열</v>
      </c>
      <c r="H2919" t="str">
        <f t="shared" si="430"/>
        <v>스토리위즈</v>
      </c>
      <c r="I2919" t="str">
        <f t="shared" si="432"/>
        <v>말빨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70</v>
      </c>
      <c r="AT2919" t="str">
        <f t="shared" si="433"/>
        <v>9791165310820</v>
      </c>
      <c r="AV2919" t="str">
        <f t="shared" si="429"/>
        <v>판타지 웹소설 &gt; 퓨전 판타지</v>
      </c>
    </row>
    <row r="2920" spans="1:48" x14ac:dyDescent="0.4">
      <c r="A2920">
        <v>2313008438</v>
      </c>
      <c r="B2920">
        <v>2313008482</v>
      </c>
      <c r="C2920" t="str">
        <f>T("말빨 45화")</f>
        <v>말빨 45화</v>
      </c>
      <c r="D2920" t="str">
        <f>T("45")</f>
        <v>45</v>
      </c>
      <c r="E2920" t="str">
        <f t="shared" si="431"/>
        <v>이동열</v>
      </c>
      <c r="H2920" t="str">
        <f t="shared" si="430"/>
        <v>스토리위즈</v>
      </c>
      <c r="I2920" t="str">
        <f t="shared" si="432"/>
        <v>말빨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70</v>
      </c>
      <c r="AT2920" t="str">
        <f t="shared" si="433"/>
        <v>9791165310820</v>
      </c>
      <c r="AV2920" t="str">
        <f t="shared" si="429"/>
        <v>판타지 웹소설 &gt; 퓨전 판타지</v>
      </c>
    </row>
    <row r="2921" spans="1:48" x14ac:dyDescent="0.4">
      <c r="A2921">
        <v>2313008438</v>
      </c>
      <c r="B2921">
        <v>2313008483</v>
      </c>
      <c r="C2921" t="str">
        <f>T("말빨 46화")</f>
        <v>말빨 46화</v>
      </c>
      <c r="D2921" t="str">
        <f>T("46")</f>
        <v>46</v>
      </c>
      <c r="E2921" t="str">
        <f t="shared" si="431"/>
        <v>이동열</v>
      </c>
      <c r="H2921" t="str">
        <f t="shared" si="430"/>
        <v>스토리위즈</v>
      </c>
      <c r="I2921" t="str">
        <f t="shared" si="432"/>
        <v>말빨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70</v>
      </c>
      <c r="AT2921" t="str">
        <f t="shared" si="433"/>
        <v>9791165310820</v>
      </c>
      <c r="AV2921" t="str">
        <f t="shared" si="429"/>
        <v>판타지 웹소설 &gt; 퓨전 판타지</v>
      </c>
    </row>
    <row r="2922" spans="1:48" x14ac:dyDescent="0.4">
      <c r="A2922">
        <v>2313008438</v>
      </c>
      <c r="B2922">
        <v>2313008484</v>
      </c>
      <c r="C2922" t="str">
        <f>T("말빨 47화")</f>
        <v>말빨 47화</v>
      </c>
      <c r="D2922" t="str">
        <f>T("47")</f>
        <v>47</v>
      </c>
      <c r="E2922" t="str">
        <f t="shared" si="431"/>
        <v>이동열</v>
      </c>
      <c r="H2922" t="str">
        <f t="shared" si="430"/>
        <v>스토리위즈</v>
      </c>
      <c r="I2922" t="str">
        <f t="shared" si="432"/>
        <v>말빨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70</v>
      </c>
      <c r="AT2922" t="str">
        <f t="shared" si="433"/>
        <v>9791165310820</v>
      </c>
      <c r="AV2922" t="str">
        <f t="shared" si="429"/>
        <v>판타지 웹소설 &gt; 퓨전 판타지</v>
      </c>
    </row>
    <row r="2923" spans="1:48" x14ac:dyDescent="0.4">
      <c r="A2923">
        <v>2313008438</v>
      </c>
      <c r="B2923">
        <v>2313008485</v>
      </c>
      <c r="C2923" t="str">
        <f>T("말빨 48화")</f>
        <v>말빨 48화</v>
      </c>
      <c r="D2923" t="str">
        <f>T("48")</f>
        <v>48</v>
      </c>
      <c r="E2923" t="str">
        <f t="shared" si="431"/>
        <v>이동열</v>
      </c>
      <c r="H2923" t="str">
        <f t="shared" si="430"/>
        <v>스토리위즈</v>
      </c>
      <c r="I2923" t="str">
        <f t="shared" si="432"/>
        <v>말빨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70</v>
      </c>
      <c r="AT2923" t="str">
        <f t="shared" si="433"/>
        <v>9791165310820</v>
      </c>
      <c r="AV2923" t="str">
        <f t="shared" si="429"/>
        <v>판타지 웹소설 &gt; 퓨전 판타지</v>
      </c>
    </row>
    <row r="2924" spans="1:48" x14ac:dyDescent="0.4">
      <c r="A2924">
        <v>2313008438</v>
      </c>
      <c r="B2924">
        <v>2313008486</v>
      </c>
      <c r="C2924" t="str">
        <f>T("말빨 49화")</f>
        <v>말빨 49화</v>
      </c>
      <c r="D2924" t="str">
        <f>T("49")</f>
        <v>49</v>
      </c>
      <c r="E2924" t="str">
        <f t="shared" si="431"/>
        <v>이동열</v>
      </c>
      <c r="H2924" t="str">
        <f t="shared" si="430"/>
        <v>스토리위즈</v>
      </c>
      <c r="I2924" t="str">
        <f t="shared" si="432"/>
        <v>말빨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70</v>
      </c>
      <c r="AT2924" t="str">
        <f t="shared" si="433"/>
        <v>9791165310820</v>
      </c>
      <c r="AV2924" t="str">
        <f t="shared" si="429"/>
        <v>판타지 웹소설 &gt; 퓨전 판타지</v>
      </c>
    </row>
    <row r="2925" spans="1:48" x14ac:dyDescent="0.4">
      <c r="A2925">
        <v>2313009418</v>
      </c>
      <c r="B2925">
        <v>2313009513</v>
      </c>
      <c r="C2925" t="str">
        <f>T("은천검제(2부 화산검제) 96화")</f>
        <v>은천검제(2부 화산검제) 96화</v>
      </c>
      <c r="D2925" t="str">
        <f>T("96")</f>
        <v>96</v>
      </c>
      <c r="E2925" t="str">
        <f t="shared" ref="E2925:E2988" si="434">T("무장")</f>
        <v>무장</v>
      </c>
      <c r="H2925" t="str">
        <f t="shared" si="430"/>
        <v>스토리위즈</v>
      </c>
      <c r="I2925" t="str">
        <f t="shared" ref="I2925:I2988" si="435">T("은천검제(2부 화산검제)")</f>
        <v>은천검제(2부 화산검제)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70</v>
      </c>
      <c r="AV2925" t="str">
        <f t="shared" ref="AV2925:AV2988" si="436">T("판타지 웹소설 &gt; 무협 소설")</f>
        <v>판타지 웹소설 &gt; 무협 소설</v>
      </c>
    </row>
    <row r="2926" spans="1:48" x14ac:dyDescent="0.4">
      <c r="A2926">
        <v>2313009418</v>
      </c>
      <c r="B2926">
        <v>2313009514</v>
      </c>
      <c r="C2926" t="str">
        <f>T("은천검제(2부 화산검제) 97화")</f>
        <v>은천검제(2부 화산검제) 97화</v>
      </c>
      <c r="D2926" t="str">
        <f>T("97")</f>
        <v>97</v>
      </c>
      <c r="E2926" t="str">
        <f t="shared" si="434"/>
        <v>무장</v>
      </c>
      <c r="H2926" t="str">
        <f t="shared" si="430"/>
        <v>스토리위즈</v>
      </c>
      <c r="I2926" t="str">
        <f t="shared" si="435"/>
        <v>은천검제(2부 화산검제)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70</v>
      </c>
      <c r="AV2926" t="str">
        <f t="shared" si="436"/>
        <v>판타지 웹소설 &gt; 무협 소설</v>
      </c>
    </row>
    <row r="2927" spans="1:48" x14ac:dyDescent="0.4">
      <c r="A2927">
        <v>2313009418</v>
      </c>
      <c r="B2927">
        <v>2313009515</v>
      </c>
      <c r="C2927" t="str">
        <f>T("은천검제(2부 화산검제) 98화")</f>
        <v>은천검제(2부 화산검제) 98화</v>
      </c>
      <c r="D2927" t="str">
        <f>T("98")</f>
        <v>98</v>
      </c>
      <c r="E2927" t="str">
        <f t="shared" si="434"/>
        <v>무장</v>
      </c>
      <c r="H2927" t="str">
        <f t="shared" si="430"/>
        <v>스토리위즈</v>
      </c>
      <c r="I2927" t="str">
        <f t="shared" si="435"/>
        <v>은천검제(2부 화산검제)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70</v>
      </c>
      <c r="AV2927" t="str">
        <f t="shared" si="436"/>
        <v>판타지 웹소설 &gt; 무협 소설</v>
      </c>
    </row>
    <row r="2928" spans="1:48" x14ac:dyDescent="0.4">
      <c r="A2928">
        <v>2313009418</v>
      </c>
      <c r="B2928">
        <v>2313009516</v>
      </c>
      <c r="C2928" t="str">
        <f>T("은천검제(2부 화산검제) 99화")</f>
        <v>은천검제(2부 화산검제) 99화</v>
      </c>
      <c r="D2928" t="str">
        <f>T("99")</f>
        <v>99</v>
      </c>
      <c r="E2928" t="str">
        <f t="shared" si="434"/>
        <v>무장</v>
      </c>
      <c r="H2928" t="str">
        <f t="shared" si="430"/>
        <v>스토리위즈</v>
      </c>
      <c r="I2928" t="str">
        <f t="shared" si="435"/>
        <v>은천검제(2부 화산검제)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V2928" t="str">
        <f t="shared" si="436"/>
        <v>판타지 웹소설 &gt; 무협 소설</v>
      </c>
    </row>
    <row r="2929" spans="1:48" x14ac:dyDescent="0.4">
      <c r="A2929">
        <v>2313009418</v>
      </c>
      <c r="B2929">
        <v>2313009517</v>
      </c>
      <c r="C2929" t="str">
        <f>T("은천검제(2부 화산검제) 100화")</f>
        <v>은천검제(2부 화산검제) 100화</v>
      </c>
      <c r="D2929" t="str">
        <f>T("100")</f>
        <v>100</v>
      </c>
      <c r="E2929" t="str">
        <f t="shared" si="434"/>
        <v>무장</v>
      </c>
      <c r="H2929" t="str">
        <f t="shared" si="430"/>
        <v>스토리위즈</v>
      </c>
      <c r="I2929" t="str">
        <f t="shared" si="435"/>
        <v>은천검제(2부 화산검제)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V2929" t="str">
        <f t="shared" si="436"/>
        <v>판타지 웹소설 &gt; 무협 소설</v>
      </c>
    </row>
    <row r="2930" spans="1:48" x14ac:dyDescent="0.4">
      <c r="A2930">
        <v>2313009418</v>
      </c>
      <c r="B2930">
        <v>2313009518</v>
      </c>
      <c r="C2930" t="str">
        <f>T("은천검제(2부 화산검제) 101화")</f>
        <v>은천검제(2부 화산검제) 101화</v>
      </c>
      <c r="D2930" t="str">
        <f>T("101")</f>
        <v>101</v>
      </c>
      <c r="E2930" t="str">
        <f t="shared" si="434"/>
        <v>무장</v>
      </c>
      <c r="H2930" t="str">
        <f t="shared" si="430"/>
        <v>스토리위즈</v>
      </c>
      <c r="I2930" t="str">
        <f t="shared" si="435"/>
        <v>은천검제(2부 화산검제)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V2930" t="str">
        <f t="shared" si="436"/>
        <v>판타지 웹소설 &gt; 무협 소설</v>
      </c>
    </row>
    <row r="2931" spans="1:48" x14ac:dyDescent="0.4">
      <c r="A2931">
        <v>2313009418</v>
      </c>
      <c r="B2931">
        <v>2313009519</v>
      </c>
      <c r="C2931" t="str">
        <f>T("은천검제(2부 화산검제) 102화")</f>
        <v>은천검제(2부 화산검제) 102화</v>
      </c>
      <c r="D2931" t="str">
        <f>T("102")</f>
        <v>102</v>
      </c>
      <c r="E2931" t="str">
        <f t="shared" si="434"/>
        <v>무장</v>
      </c>
      <c r="H2931" t="str">
        <f t="shared" si="430"/>
        <v>스토리위즈</v>
      </c>
      <c r="I2931" t="str">
        <f t="shared" si="435"/>
        <v>은천검제(2부 화산검제)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V2931" t="str">
        <f t="shared" si="436"/>
        <v>판타지 웹소설 &gt; 무협 소설</v>
      </c>
    </row>
    <row r="2932" spans="1:48" x14ac:dyDescent="0.4">
      <c r="A2932">
        <v>2313009418</v>
      </c>
      <c r="B2932">
        <v>2313009520</v>
      </c>
      <c r="C2932" t="str">
        <f>T("은천검제(2부 화산검제) 103화")</f>
        <v>은천검제(2부 화산검제) 103화</v>
      </c>
      <c r="D2932" t="str">
        <f>T("103")</f>
        <v>103</v>
      </c>
      <c r="E2932" t="str">
        <f t="shared" si="434"/>
        <v>무장</v>
      </c>
      <c r="H2932" t="str">
        <f t="shared" si="430"/>
        <v>스토리위즈</v>
      </c>
      <c r="I2932" t="str">
        <f t="shared" si="435"/>
        <v>은천검제(2부 화산검제)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V2932" t="str">
        <f t="shared" si="436"/>
        <v>판타지 웹소설 &gt; 무협 소설</v>
      </c>
    </row>
    <row r="2933" spans="1:48" x14ac:dyDescent="0.4">
      <c r="A2933">
        <v>2313009418</v>
      </c>
      <c r="B2933">
        <v>2313009521</v>
      </c>
      <c r="C2933" t="str">
        <f>T("은천검제(2부 화산검제) 104화")</f>
        <v>은천검제(2부 화산검제) 104화</v>
      </c>
      <c r="D2933" t="str">
        <f>T("104")</f>
        <v>104</v>
      </c>
      <c r="E2933" t="str">
        <f t="shared" si="434"/>
        <v>무장</v>
      </c>
      <c r="H2933" t="str">
        <f t="shared" si="430"/>
        <v>스토리위즈</v>
      </c>
      <c r="I2933" t="str">
        <f t="shared" si="435"/>
        <v>은천검제(2부 화산검제)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V2933" t="str">
        <f t="shared" si="436"/>
        <v>판타지 웹소설 &gt; 무협 소설</v>
      </c>
    </row>
    <row r="2934" spans="1:48" x14ac:dyDescent="0.4">
      <c r="A2934">
        <v>2313009418</v>
      </c>
      <c r="B2934">
        <v>2313009522</v>
      </c>
      <c r="C2934" t="str">
        <f>T("은천검제(2부 화산검제) 105화")</f>
        <v>은천검제(2부 화산검제) 105화</v>
      </c>
      <c r="D2934" t="str">
        <f>T("105")</f>
        <v>105</v>
      </c>
      <c r="E2934" t="str">
        <f t="shared" si="434"/>
        <v>무장</v>
      </c>
      <c r="H2934" t="str">
        <f t="shared" si="430"/>
        <v>스토리위즈</v>
      </c>
      <c r="I2934" t="str">
        <f t="shared" si="435"/>
        <v>은천검제(2부 화산검제)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V2934" t="str">
        <f t="shared" si="436"/>
        <v>판타지 웹소설 &gt; 무협 소설</v>
      </c>
    </row>
    <row r="2935" spans="1:48" x14ac:dyDescent="0.4">
      <c r="A2935">
        <v>2313009418</v>
      </c>
      <c r="B2935">
        <v>2313009523</v>
      </c>
      <c r="C2935" t="str">
        <f>T("은천검제(2부 화산검제) 106화")</f>
        <v>은천검제(2부 화산검제) 106화</v>
      </c>
      <c r="D2935" t="str">
        <f>T("106")</f>
        <v>106</v>
      </c>
      <c r="E2935" t="str">
        <f t="shared" si="434"/>
        <v>무장</v>
      </c>
      <c r="H2935" t="str">
        <f t="shared" si="430"/>
        <v>스토리위즈</v>
      </c>
      <c r="I2935" t="str">
        <f t="shared" si="435"/>
        <v>은천검제(2부 화산검제)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V2935" t="str">
        <f t="shared" si="436"/>
        <v>판타지 웹소설 &gt; 무협 소설</v>
      </c>
    </row>
    <row r="2936" spans="1:48" x14ac:dyDescent="0.4">
      <c r="A2936">
        <v>2313009418</v>
      </c>
      <c r="B2936">
        <v>2313009524</v>
      </c>
      <c r="C2936" t="str">
        <f>T("은천검제(2부 화산검제) 107화")</f>
        <v>은천검제(2부 화산검제) 107화</v>
      </c>
      <c r="D2936" t="str">
        <f>T("107")</f>
        <v>107</v>
      </c>
      <c r="E2936" t="str">
        <f t="shared" si="434"/>
        <v>무장</v>
      </c>
      <c r="H2936" t="str">
        <f t="shared" si="430"/>
        <v>스토리위즈</v>
      </c>
      <c r="I2936" t="str">
        <f t="shared" si="435"/>
        <v>은천검제(2부 화산검제)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V2936" t="str">
        <f t="shared" si="436"/>
        <v>판타지 웹소설 &gt; 무협 소설</v>
      </c>
    </row>
    <row r="2937" spans="1:48" x14ac:dyDescent="0.4">
      <c r="A2937">
        <v>2313009418</v>
      </c>
      <c r="B2937">
        <v>2313009525</v>
      </c>
      <c r="C2937" t="str">
        <f>T("은천검제(2부 화산검제) 108화")</f>
        <v>은천검제(2부 화산검제) 108화</v>
      </c>
      <c r="D2937" t="str">
        <f>T("108")</f>
        <v>108</v>
      </c>
      <c r="E2937" t="str">
        <f t="shared" si="434"/>
        <v>무장</v>
      </c>
      <c r="H2937" t="str">
        <f t="shared" ref="H2937:H3000" si="437">T("스토리위즈")</f>
        <v>스토리위즈</v>
      </c>
      <c r="I2937" t="str">
        <f t="shared" si="435"/>
        <v>은천검제(2부 화산검제)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V2937" t="str">
        <f t="shared" si="436"/>
        <v>판타지 웹소설 &gt; 무협 소설</v>
      </c>
    </row>
    <row r="2938" spans="1:48" x14ac:dyDescent="0.4">
      <c r="A2938">
        <v>2313009418</v>
      </c>
      <c r="B2938">
        <v>2313009526</v>
      </c>
      <c r="C2938" t="str">
        <f>T("은천검제(2부 화산검제) 109화")</f>
        <v>은천검제(2부 화산검제) 109화</v>
      </c>
      <c r="D2938" t="str">
        <f>T("109")</f>
        <v>109</v>
      </c>
      <c r="E2938" t="str">
        <f t="shared" si="434"/>
        <v>무장</v>
      </c>
      <c r="H2938" t="str">
        <f t="shared" si="437"/>
        <v>스토리위즈</v>
      </c>
      <c r="I2938" t="str">
        <f t="shared" si="435"/>
        <v>은천검제(2부 화산검제)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V2938" t="str">
        <f t="shared" si="436"/>
        <v>판타지 웹소설 &gt; 무협 소설</v>
      </c>
    </row>
    <row r="2939" spans="1:48" x14ac:dyDescent="0.4">
      <c r="A2939">
        <v>2313009418</v>
      </c>
      <c r="B2939">
        <v>2313009527</v>
      </c>
      <c r="C2939" t="str">
        <f>T("은천검제(2부 화산검제) 110화")</f>
        <v>은천검제(2부 화산검제) 110화</v>
      </c>
      <c r="D2939" t="str">
        <f>T("110")</f>
        <v>110</v>
      </c>
      <c r="E2939" t="str">
        <f t="shared" si="434"/>
        <v>무장</v>
      </c>
      <c r="H2939" t="str">
        <f t="shared" si="437"/>
        <v>스토리위즈</v>
      </c>
      <c r="I2939" t="str">
        <f t="shared" si="435"/>
        <v>은천검제(2부 화산검제)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V2939" t="str">
        <f t="shared" si="436"/>
        <v>판타지 웹소설 &gt; 무협 소설</v>
      </c>
    </row>
    <row r="2940" spans="1:48" x14ac:dyDescent="0.4">
      <c r="A2940">
        <v>2313009418</v>
      </c>
      <c r="B2940">
        <v>2313009528</v>
      </c>
      <c r="C2940" t="str">
        <f>T("은천검제(2부 화산검제) 111화")</f>
        <v>은천검제(2부 화산검제) 111화</v>
      </c>
      <c r="D2940" t="str">
        <f>T("111")</f>
        <v>111</v>
      </c>
      <c r="E2940" t="str">
        <f t="shared" si="434"/>
        <v>무장</v>
      </c>
      <c r="H2940" t="str">
        <f t="shared" si="437"/>
        <v>스토리위즈</v>
      </c>
      <c r="I2940" t="str">
        <f t="shared" si="435"/>
        <v>은천검제(2부 화산검제)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70</v>
      </c>
      <c r="AV2940" t="str">
        <f t="shared" si="436"/>
        <v>판타지 웹소설 &gt; 무협 소설</v>
      </c>
    </row>
    <row r="2941" spans="1:48" x14ac:dyDescent="0.4">
      <c r="A2941">
        <v>2313009418</v>
      </c>
      <c r="B2941">
        <v>2313009529</v>
      </c>
      <c r="C2941" t="str">
        <f>T("은천검제(2부 화산검제) 112화")</f>
        <v>은천검제(2부 화산검제) 112화</v>
      </c>
      <c r="D2941" t="str">
        <f>T("112")</f>
        <v>112</v>
      </c>
      <c r="E2941" t="str">
        <f t="shared" si="434"/>
        <v>무장</v>
      </c>
      <c r="H2941" t="str">
        <f t="shared" si="437"/>
        <v>스토리위즈</v>
      </c>
      <c r="I2941" t="str">
        <f t="shared" si="435"/>
        <v>은천검제(2부 화산검제)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70</v>
      </c>
      <c r="AV2941" t="str">
        <f t="shared" si="436"/>
        <v>판타지 웹소설 &gt; 무협 소설</v>
      </c>
    </row>
    <row r="2942" spans="1:48" x14ac:dyDescent="0.4">
      <c r="A2942">
        <v>2313009418</v>
      </c>
      <c r="B2942">
        <v>2313009530</v>
      </c>
      <c r="C2942" t="str">
        <f>T("은천검제(2부 화산검제) 113화")</f>
        <v>은천검제(2부 화산검제) 113화</v>
      </c>
      <c r="D2942" t="str">
        <f>T("113")</f>
        <v>113</v>
      </c>
      <c r="E2942" t="str">
        <f t="shared" si="434"/>
        <v>무장</v>
      </c>
      <c r="H2942" t="str">
        <f t="shared" si="437"/>
        <v>스토리위즈</v>
      </c>
      <c r="I2942" t="str">
        <f t="shared" si="435"/>
        <v>은천검제(2부 화산검제)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70</v>
      </c>
      <c r="AV2942" t="str">
        <f t="shared" si="436"/>
        <v>판타지 웹소설 &gt; 무협 소설</v>
      </c>
    </row>
    <row r="2943" spans="1:48" x14ac:dyDescent="0.4">
      <c r="A2943">
        <v>2313009418</v>
      </c>
      <c r="B2943">
        <v>2313009531</v>
      </c>
      <c r="C2943" t="str">
        <f>T("은천검제(2부 화산검제) 114화")</f>
        <v>은천검제(2부 화산검제) 114화</v>
      </c>
      <c r="D2943" t="str">
        <f>T("114")</f>
        <v>114</v>
      </c>
      <c r="E2943" t="str">
        <f t="shared" si="434"/>
        <v>무장</v>
      </c>
      <c r="H2943" t="str">
        <f t="shared" si="437"/>
        <v>스토리위즈</v>
      </c>
      <c r="I2943" t="str">
        <f t="shared" si="435"/>
        <v>은천검제(2부 화산검제)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70</v>
      </c>
      <c r="AV2943" t="str">
        <f t="shared" si="436"/>
        <v>판타지 웹소설 &gt; 무협 소설</v>
      </c>
    </row>
    <row r="2944" spans="1:48" x14ac:dyDescent="0.4">
      <c r="A2944">
        <v>2313009418</v>
      </c>
      <c r="B2944">
        <v>2313009532</v>
      </c>
      <c r="C2944" t="str">
        <f>T("은천검제(2부 화산검제) 115화")</f>
        <v>은천검제(2부 화산검제) 115화</v>
      </c>
      <c r="D2944" t="str">
        <f>T("115")</f>
        <v>115</v>
      </c>
      <c r="E2944" t="str">
        <f t="shared" si="434"/>
        <v>무장</v>
      </c>
      <c r="H2944" t="str">
        <f t="shared" si="437"/>
        <v>스토리위즈</v>
      </c>
      <c r="I2944" t="str">
        <f t="shared" si="435"/>
        <v>은천검제(2부 화산검제)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70</v>
      </c>
      <c r="AV2944" t="str">
        <f t="shared" si="436"/>
        <v>판타지 웹소설 &gt; 무협 소설</v>
      </c>
    </row>
    <row r="2945" spans="1:48" x14ac:dyDescent="0.4">
      <c r="A2945">
        <v>2313009418</v>
      </c>
      <c r="B2945">
        <v>2313009533</v>
      </c>
      <c r="C2945" t="str">
        <f>T("은천검제(2부 화산검제) 116화")</f>
        <v>은천검제(2부 화산검제) 116화</v>
      </c>
      <c r="D2945" t="str">
        <f>T("116")</f>
        <v>116</v>
      </c>
      <c r="E2945" t="str">
        <f t="shared" si="434"/>
        <v>무장</v>
      </c>
      <c r="H2945" t="str">
        <f t="shared" si="437"/>
        <v>스토리위즈</v>
      </c>
      <c r="I2945" t="str">
        <f t="shared" si="435"/>
        <v>은천검제(2부 화산검제)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70</v>
      </c>
      <c r="AV2945" t="str">
        <f t="shared" si="436"/>
        <v>판타지 웹소설 &gt; 무협 소설</v>
      </c>
    </row>
    <row r="2946" spans="1:48" x14ac:dyDescent="0.4">
      <c r="A2946">
        <v>2313009418</v>
      </c>
      <c r="B2946">
        <v>2313009534</v>
      </c>
      <c r="C2946" t="str">
        <f>T("은천검제(2부 화산검제) 117화")</f>
        <v>은천검제(2부 화산검제) 117화</v>
      </c>
      <c r="D2946" t="str">
        <f>T("117")</f>
        <v>117</v>
      </c>
      <c r="E2946" t="str">
        <f t="shared" si="434"/>
        <v>무장</v>
      </c>
      <c r="H2946" t="str">
        <f t="shared" si="437"/>
        <v>스토리위즈</v>
      </c>
      <c r="I2946" t="str">
        <f t="shared" si="435"/>
        <v>은천검제(2부 화산검제)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70</v>
      </c>
      <c r="AV2946" t="str">
        <f t="shared" si="436"/>
        <v>판타지 웹소설 &gt; 무협 소설</v>
      </c>
    </row>
    <row r="2947" spans="1:48" x14ac:dyDescent="0.4">
      <c r="A2947">
        <v>2313009418</v>
      </c>
      <c r="B2947">
        <v>2313009535</v>
      </c>
      <c r="C2947" t="str">
        <f>T("은천검제(2부 화산검제) 118화")</f>
        <v>은천검제(2부 화산검제) 118화</v>
      </c>
      <c r="D2947" t="str">
        <f>T("118")</f>
        <v>118</v>
      </c>
      <c r="E2947" t="str">
        <f t="shared" si="434"/>
        <v>무장</v>
      </c>
      <c r="H2947" t="str">
        <f t="shared" si="437"/>
        <v>스토리위즈</v>
      </c>
      <c r="I2947" t="str">
        <f t="shared" si="435"/>
        <v>은천검제(2부 화산검제)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70</v>
      </c>
      <c r="AV2947" t="str">
        <f t="shared" si="436"/>
        <v>판타지 웹소설 &gt; 무협 소설</v>
      </c>
    </row>
    <row r="2948" spans="1:48" x14ac:dyDescent="0.4">
      <c r="A2948">
        <v>2313009418</v>
      </c>
      <c r="B2948">
        <v>2313009536</v>
      </c>
      <c r="C2948" t="str">
        <f>T("은천검제(2부 화산검제) 119화")</f>
        <v>은천검제(2부 화산검제) 119화</v>
      </c>
      <c r="D2948" t="str">
        <f>T("119")</f>
        <v>119</v>
      </c>
      <c r="E2948" t="str">
        <f t="shared" si="434"/>
        <v>무장</v>
      </c>
      <c r="H2948" t="str">
        <f t="shared" si="437"/>
        <v>스토리위즈</v>
      </c>
      <c r="I2948" t="str">
        <f t="shared" si="435"/>
        <v>은천검제(2부 화산검제)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70</v>
      </c>
      <c r="AV2948" t="str">
        <f t="shared" si="436"/>
        <v>판타지 웹소설 &gt; 무협 소설</v>
      </c>
    </row>
    <row r="2949" spans="1:48" x14ac:dyDescent="0.4">
      <c r="A2949">
        <v>2313009418</v>
      </c>
      <c r="B2949">
        <v>2313009537</v>
      </c>
      <c r="C2949" t="str">
        <f>T("은천검제(2부 화산검제) 120화")</f>
        <v>은천검제(2부 화산검제) 120화</v>
      </c>
      <c r="D2949" t="str">
        <f>T("120")</f>
        <v>120</v>
      </c>
      <c r="E2949" t="str">
        <f t="shared" si="434"/>
        <v>무장</v>
      </c>
      <c r="H2949" t="str">
        <f t="shared" si="437"/>
        <v>스토리위즈</v>
      </c>
      <c r="I2949" t="str">
        <f t="shared" si="435"/>
        <v>은천검제(2부 화산검제)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70</v>
      </c>
      <c r="AV2949" t="str">
        <f t="shared" si="436"/>
        <v>판타지 웹소설 &gt; 무협 소설</v>
      </c>
    </row>
    <row r="2950" spans="1:48" x14ac:dyDescent="0.4">
      <c r="A2950">
        <v>2313009418</v>
      </c>
      <c r="B2950">
        <v>2313009538</v>
      </c>
      <c r="C2950" t="str">
        <f>T("은천검제(2부 화산검제) 121화")</f>
        <v>은천검제(2부 화산검제) 121화</v>
      </c>
      <c r="D2950" t="str">
        <f>T("121")</f>
        <v>121</v>
      </c>
      <c r="E2950" t="str">
        <f t="shared" si="434"/>
        <v>무장</v>
      </c>
      <c r="H2950" t="str">
        <f t="shared" si="437"/>
        <v>스토리위즈</v>
      </c>
      <c r="I2950" t="str">
        <f t="shared" si="435"/>
        <v>은천검제(2부 화산검제)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70</v>
      </c>
      <c r="AV2950" t="str">
        <f t="shared" si="436"/>
        <v>판타지 웹소설 &gt; 무협 소설</v>
      </c>
    </row>
    <row r="2951" spans="1:48" x14ac:dyDescent="0.4">
      <c r="A2951">
        <v>2313009418</v>
      </c>
      <c r="B2951">
        <v>2313009539</v>
      </c>
      <c r="C2951" t="str">
        <f>T("은천검제(2부 화산검제) 122화")</f>
        <v>은천검제(2부 화산검제) 122화</v>
      </c>
      <c r="D2951" t="str">
        <f>T("122")</f>
        <v>122</v>
      </c>
      <c r="E2951" t="str">
        <f t="shared" si="434"/>
        <v>무장</v>
      </c>
      <c r="H2951" t="str">
        <f t="shared" si="437"/>
        <v>스토리위즈</v>
      </c>
      <c r="I2951" t="str">
        <f t="shared" si="435"/>
        <v>은천검제(2부 화산검제)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70</v>
      </c>
      <c r="AV2951" t="str">
        <f t="shared" si="436"/>
        <v>판타지 웹소설 &gt; 무협 소설</v>
      </c>
    </row>
    <row r="2952" spans="1:48" x14ac:dyDescent="0.4">
      <c r="A2952">
        <v>2313009418</v>
      </c>
      <c r="B2952">
        <v>2313009540</v>
      </c>
      <c r="C2952" t="str">
        <f>T("은천검제(2부 화산검제) 123화")</f>
        <v>은천검제(2부 화산검제) 123화</v>
      </c>
      <c r="D2952" t="str">
        <f>T("123")</f>
        <v>123</v>
      </c>
      <c r="E2952" t="str">
        <f t="shared" si="434"/>
        <v>무장</v>
      </c>
      <c r="H2952" t="str">
        <f t="shared" si="437"/>
        <v>스토리위즈</v>
      </c>
      <c r="I2952" t="str">
        <f t="shared" si="435"/>
        <v>은천검제(2부 화산검제)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70</v>
      </c>
      <c r="AV2952" t="str">
        <f t="shared" si="436"/>
        <v>판타지 웹소설 &gt; 무협 소설</v>
      </c>
    </row>
    <row r="2953" spans="1:48" x14ac:dyDescent="0.4">
      <c r="A2953">
        <v>2313009418</v>
      </c>
      <c r="B2953">
        <v>2313009541</v>
      </c>
      <c r="C2953" t="str">
        <f>T("은천검제(2부 화산검제) 124화")</f>
        <v>은천검제(2부 화산검제) 124화</v>
      </c>
      <c r="D2953" t="str">
        <f>T("124")</f>
        <v>124</v>
      </c>
      <c r="E2953" t="str">
        <f t="shared" si="434"/>
        <v>무장</v>
      </c>
      <c r="H2953" t="str">
        <f t="shared" si="437"/>
        <v>스토리위즈</v>
      </c>
      <c r="I2953" t="str">
        <f t="shared" si="435"/>
        <v>은천검제(2부 화산검제)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70</v>
      </c>
      <c r="AV2953" t="str">
        <f t="shared" si="436"/>
        <v>판타지 웹소설 &gt; 무협 소설</v>
      </c>
    </row>
    <row r="2954" spans="1:48" x14ac:dyDescent="0.4">
      <c r="A2954">
        <v>2313009418</v>
      </c>
      <c r="B2954">
        <v>2313009542</v>
      </c>
      <c r="C2954" t="str">
        <f>T("은천검제(2부 화산검제) 125화")</f>
        <v>은천검제(2부 화산검제) 125화</v>
      </c>
      <c r="D2954" t="str">
        <f>T("125")</f>
        <v>125</v>
      </c>
      <c r="E2954" t="str">
        <f t="shared" si="434"/>
        <v>무장</v>
      </c>
      <c r="H2954" t="str">
        <f t="shared" si="437"/>
        <v>스토리위즈</v>
      </c>
      <c r="I2954" t="str">
        <f t="shared" si="435"/>
        <v>은천검제(2부 화산검제)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70</v>
      </c>
      <c r="AV2954" t="str">
        <f t="shared" si="436"/>
        <v>판타지 웹소설 &gt; 무협 소설</v>
      </c>
    </row>
    <row r="2955" spans="1:48" x14ac:dyDescent="0.4">
      <c r="A2955">
        <v>2313009418</v>
      </c>
      <c r="B2955">
        <v>2313009543</v>
      </c>
      <c r="C2955" t="str">
        <f>T("은천검제(2부 화산검제) 126화")</f>
        <v>은천검제(2부 화산검제) 126화</v>
      </c>
      <c r="D2955" t="str">
        <f>T("126")</f>
        <v>126</v>
      </c>
      <c r="E2955" t="str">
        <f t="shared" si="434"/>
        <v>무장</v>
      </c>
      <c r="H2955" t="str">
        <f t="shared" si="437"/>
        <v>스토리위즈</v>
      </c>
      <c r="I2955" t="str">
        <f t="shared" si="435"/>
        <v>은천검제(2부 화산검제)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70</v>
      </c>
      <c r="AV2955" t="str">
        <f t="shared" si="436"/>
        <v>판타지 웹소설 &gt; 무협 소설</v>
      </c>
    </row>
    <row r="2956" spans="1:48" x14ac:dyDescent="0.4">
      <c r="A2956">
        <v>2313009418</v>
      </c>
      <c r="B2956">
        <v>2313009544</v>
      </c>
      <c r="C2956" t="str">
        <f>T("은천검제(2부 화산검제) 127화")</f>
        <v>은천검제(2부 화산검제) 127화</v>
      </c>
      <c r="D2956" t="str">
        <f>T("127")</f>
        <v>127</v>
      </c>
      <c r="E2956" t="str">
        <f t="shared" si="434"/>
        <v>무장</v>
      </c>
      <c r="H2956" t="str">
        <f t="shared" si="437"/>
        <v>스토리위즈</v>
      </c>
      <c r="I2956" t="str">
        <f t="shared" si="435"/>
        <v>은천검제(2부 화산검제)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70</v>
      </c>
      <c r="AV2956" t="str">
        <f t="shared" si="436"/>
        <v>판타지 웹소설 &gt; 무협 소설</v>
      </c>
    </row>
    <row r="2957" spans="1:48" x14ac:dyDescent="0.4">
      <c r="A2957">
        <v>2313009418</v>
      </c>
      <c r="B2957">
        <v>2313009545</v>
      </c>
      <c r="C2957" t="str">
        <f>T("은천검제(2부 화산검제) 128화")</f>
        <v>은천검제(2부 화산검제) 128화</v>
      </c>
      <c r="D2957" t="str">
        <f>T("128")</f>
        <v>128</v>
      </c>
      <c r="E2957" t="str">
        <f t="shared" si="434"/>
        <v>무장</v>
      </c>
      <c r="H2957" t="str">
        <f t="shared" si="437"/>
        <v>스토리위즈</v>
      </c>
      <c r="I2957" t="str">
        <f t="shared" si="435"/>
        <v>은천검제(2부 화산검제)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70</v>
      </c>
      <c r="AV2957" t="str">
        <f t="shared" si="436"/>
        <v>판타지 웹소설 &gt; 무협 소설</v>
      </c>
    </row>
    <row r="2958" spans="1:48" x14ac:dyDescent="0.4">
      <c r="A2958">
        <v>2313009418</v>
      </c>
      <c r="B2958">
        <v>2313009546</v>
      </c>
      <c r="C2958" t="str">
        <f>T("은천검제(2부 화산검제) 129화")</f>
        <v>은천검제(2부 화산검제) 129화</v>
      </c>
      <c r="D2958" t="str">
        <f>T("129")</f>
        <v>129</v>
      </c>
      <c r="E2958" t="str">
        <f t="shared" si="434"/>
        <v>무장</v>
      </c>
      <c r="H2958" t="str">
        <f t="shared" si="437"/>
        <v>스토리위즈</v>
      </c>
      <c r="I2958" t="str">
        <f t="shared" si="435"/>
        <v>은천검제(2부 화산검제)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70</v>
      </c>
      <c r="AV2958" t="str">
        <f t="shared" si="436"/>
        <v>판타지 웹소설 &gt; 무협 소설</v>
      </c>
    </row>
    <row r="2959" spans="1:48" x14ac:dyDescent="0.4">
      <c r="A2959">
        <v>2313009418</v>
      </c>
      <c r="B2959">
        <v>2313009547</v>
      </c>
      <c r="C2959" t="str">
        <f>T("은천검제(2부 화산검제) 130화")</f>
        <v>은천검제(2부 화산검제) 130화</v>
      </c>
      <c r="D2959" t="str">
        <f>T("130")</f>
        <v>130</v>
      </c>
      <c r="E2959" t="str">
        <f t="shared" si="434"/>
        <v>무장</v>
      </c>
      <c r="H2959" t="str">
        <f t="shared" si="437"/>
        <v>스토리위즈</v>
      </c>
      <c r="I2959" t="str">
        <f t="shared" si="435"/>
        <v>은천검제(2부 화산검제)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70</v>
      </c>
      <c r="AV2959" t="str">
        <f t="shared" si="436"/>
        <v>판타지 웹소설 &gt; 무협 소설</v>
      </c>
    </row>
    <row r="2960" spans="1:48" x14ac:dyDescent="0.4">
      <c r="A2960">
        <v>2313009418</v>
      </c>
      <c r="B2960">
        <v>2313009548</v>
      </c>
      <c r="C2960" t="str">
        <f>T("은천검제(2부 화산검제) 131화")</f>
        <v>은천검제(2부 화산검제) 131화</v>
      </c>
      <c r="D2960" t="str">
        <f>T("131")</f>
        <v>131</v>
      </c>
      <c r="E2960" t="str">
        <f t="shared" si="434"/>
        <v>무장</v>
      </c>
      <c r="H2960" t="str">
        <f t="shared" si="437"/>
        <v>스토리위즈</v>
      </c>
      <c r="I2960" t="str">
        <f t="shared" si="435"/>
        <v>은천검제(2부 화산검제)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70</v>
      </c>
      <c r="AV2960" t="str">
        <f t="shared" si="436"/>
        <v>판타지 웹소설 &gt; 무협 소설</v>
      </c>
    </row>
    <row r="2961" spans="1:48" x14ac:dyDescent="0.4">
      <c r="A2961">
        <v>2313009418</v>
      </c>
      <c r="B2961">
        <v>2313009549</v>
      </c>
      <c r="C2961" t="str">
        <f>T("은천검제(2부 화산검제) 132화")</f>
        <v>은천검제(2부 화산검제) 132화</v>
      </c>
      <c r="D2961" t="str">
        <f>T("132")</f>
        <v>132</v>
      </c>
      <c r="E2961" t="str">
        <f t="shared" si="434"/>
        <v>무장</v>
      </c>
      <c r="H2961" t="str">
        <f t="shared" si="437"/>
        <v>스토리위즈</v>
      </c>
      <c r="I2961" t="str">
        <f t="shared" si="435"/>
        <v>은천검제(2부 화산검제)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70</v>
      </c>
      <c r="AV2961" t="str">
        <f t="shared" si="436"/>
        <v>판타지 웹소설 &gt; 무협 소설</v>
      </c>
    </row>
    <row r="2962" spans="1:48" x14ac:dyDescent="0.4">
      <c r="A2962">
        <v>2313009418</v>
      </c>
      <c r="B2962">
        <v>2313009550</v>
      </c>
      <c r="C2962" t="str">
        <f>T("은천검제(2부 화산검제) 133화")</f>
        <v>은천검제(2부 화산검제) 133화</v>
      </c>
      <c r="D2962" t="str">
        <f>T("133")</f>
        <v>133</v>
      </c>
      <c r="E2962" t="str">
        <f t="shared" si="434"/>
        <v>무장</v>
      </c>
      <c r="H2962" t="str">
        <f t="shared" si="437"/>
        <v>스토리위즈</v>
      </c>
      <c r="I2962" t="str">
        <f t="shared" si="435"/>
        <v>은천검제(2부 화산검제)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70</v>
      </c>
      <c r="AV2962" t="str">
        <f t="shared" si="436"/>
        <v>판타지 웹소설 &gt; 무협 소설</v>
      </c>
    </row>
    <row r="2963" spans="1:48" x14ac:dyDescent="0.4">
      <c r="A2963">
        <v>2313009418</v>
      </c>
      <c r="B2963">
        <v>2313009551</v>
      </c>
      <c r="C2963" t="str">
        <f>T("은천검제(2부 화산검제) 134화")</f>
        <v>은천검제(2부 화산검제) 134화</v>
      </c>
      <c r="D2963" t="str">
        <f>T("134")</f>
        <v>134</v>
      </c>
      <c r="E2963" t="str">
        <f t="shared" si="434"/>
        <v>무장</v>
      </c>
      <c r="H2963" t="str">
        <f t="shared" si="437"/>
        <v>스토리위즈</v>
      </c>
      <c r="I2963" t="str">
        <f t="shared" si="435"/>
        <v>은천검제(2부 화산검제)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70</v>
      </c>
      <c r="AV2963" t="str">
        <f t="shared" si="436"/>
        <v>판타지 웹소설 &gt; 무협 소설</v>
      </c>
    </row>
    <row r="2964" spans="1:48" x14ac:dyDescent="0.4">
      <c r="A2964">
        <v>2313009418</v>
      </c>
      <c r="B2964">
        <v>2313009552</v>
      </c>
      <c r="C2964" t="str">
        <f>T("은천검제(2부 화산검제) 135화")</f>
        <v>은천검제(2부 화산검제) 135화</v>
      </c>
      <c r="D2964" t="str">
        <f>T("135")</f>
        <v>135</v>
      </c>
      <c r="E2964" t="str">
        <f t="shared" si="434"/>
        <v>무장</v>
      </c>
      <c r="H2964" t="str">
        <f t="shared" si="437"/>
        <v>스토리위즈</v>
      </c>
      <c r="I2964" t="str">
        <f t="shared" si="435"/>
        <v>은천검제(2부 화산검제)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70</v>
      </c>
      <c r="AV2964" t="str">
        <f t="shared" si="436"/>
        <v>판타지 웹소설 &gt; 무협 소설</v>
      </c>
    </row>
    <row r="2965" spans="1:48" x14ac:dyDescent="0.4">
      <c r="A2965">
        <v>2313009418</v>
      </c>
      <c r="B2965">
        <v>2313009553</v>
      </c>
      <c r="C2965" t="str">
        <f>T("은천검제(2부 화산검제) 136화")</f>
        <v>은천검제(2부 화산검제) 136화</v>
      </c>
      <c r="D2965" t="str">
        <f>T("136")</f>
        <v>136</v>
      </c>
      <c r="E2965" t="str">
        <f t="shared" si="434"/>
        <v>무장</v>
      </c>
      <c r="H2965" t="str">
        <f t="shared" si="437"/>
        <v>스토리위즈</v>
      </c>
      <c r="I2965" t="str">
        <f t="shared" si="435"/>
        <v>은천검제(2부 화산검제)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70</v>
      </c>
      <c r="AV2965" t="str">
        <f t="shared" si="436"/>
        <v>판타지 웹소설 &gt; 무협 소설</v>
      </c>
    </row>
    <row r="2966" spans="1:48" x14ac:dyDescent="0.4">
      <c r="A2966">
        <v>2313009418</v>
      </c>
      <c r="B2966">
        <v>2313009554</v>
      </c>
      <c r="C2966" t="str">
        <f>T("은천검제(2부 화산검제) 137화")</f>
        <v>은천검제(2부 화산검제) 137화</v>
      </c>
      <c r="D2966" t="str">
        <f>T("137")</f>
        <v>137</v>
      </c>
      <c r="E2966" t="str">
        <f t="shared" si="434"/>
        <v>무장</v>
      </c>
      <c r="H2966" t="str">
        <f t="shared" si="437"/>
        <v>스토리위즈</v>
      </c>
      <c r="I2966" t="str">
        <f t="shared" si="435"/>
        <v>은천검제(2부 화산검제)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70</v>
      </c>
      <c r="AV2966" t="str">
        <f t="shared" si="436"/>
        <v>판타지 웹소설 &gt; 무협 소설</v>
      </c>
    </row>
    <row r="2967" spans="1:48" x14ac:dyDescent="0.4">
      <c r="A2967">
        <v>2313009418</v>
      </c>
      <c r="B2967">
        <v>2313009555</v>
      </c>
      <c r="C2967" t="str">
        <f>T("은천검제(2부 화산검제) 138화")</f>
        <v>은천검제(2부 화산검제) 138화</v>
      </c>
      <c r="D2967" t="str">
        <f>T("138")</f>
        <v>138</v>
      </c>
      <c r="E2967" t="str">
        <f t="shared" si="434"/>
        <v>무장</v>
      </c>
      <c r="H2967" t="str">
        <f t="shared" si="437"/>
        <v>스토리위즈</v>
      </c>
      <c r="I2967" t="str">
        <f t="shared" si="435"/>
        <v>은천검제(2부 화산검제)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70</v>
      </c>
      <c r="AV2967" t="str">
        <f t="shared" si="436"/>
        <v>판타지 웹소설 &gt; 무협 소설</v>
      </c>
    </row>
    <row r="2968" spans="1:48" x14ac:dyDescent="0.4">
      <c r="A2968">
        <v>2313009418</v>
      </c>
      <c r="B2968">
        <v>2313009556</v>
      </c>
      <c r="C2968" t="str">
        <f>T("은천검제(2부 화산검제) 139화")</f>
        <v>은천검제(2부 화산검제) 139화</v>
      </c>
      <c r="D2968" t="str">
        <f>T("139")</f>
        <v>139</v>
      </c>
      <c r="E2968" t="str">
        <f t="shared" si="434"/>
        <v>무장</v>
      </c>
      <c r="H2968" t="str">
        <f t="shared" si="437"/>
        <v>스토리위즈</v>
      </c>
      <c r="I2968" t="str">
        <f t="shared" si="435"/>
        <v>은천검제(2부 화산검제)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70</v>
      </c>
      <c r="AV2968" t="str">
        <f t="shared" si="436"/>
        <v>판타지 웹소설 &gt; 무협 소설</v>
      </c>
    </row>
    <row r="2969" spans="1:48" x14ac:dyDescent="0.4">
      <c r="A2969">
        <v>2313009418</v>
      </c>
      <c r="B2969">
        <v>2313009557</v>
      </c>
      <c r="C2969" t="str">
        <f>T("은천검제(2부 화산검제) 140화")</f>
        <v>은천검제(2부 화산검제) 140화</v>
      </c>
      <c r="D2969" t="str">
        <f>T("140")</f>
        <v>140</v>
      </c>
      <c r="E2969" t="str">
        <f t="shared" si="434"/>
        <v>무장</v>
      </c>
      <c r="H2969" t="str">
        <f t="shared" si="437"/>
        <v>스토리위즈</v>
      </c>
      <c r="I2969" t="str">
        <f t="shared" si="435"/>
        <v>은천검제(2부 화산검제)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70</v>
      </c>
      <c r="AV2969" t="str">
        <f t="shared" si="436"/>
        <v>판타지 웹소설 &gt; 무협 소설</v>
      </c>
    </row>
    <row r="2970" spans="1:48" x14ac:dyDescent="0.4">
      <c r="A2970">
        <v>2313009418</v>
      </c>
      <c r="B2970">
        <v>2313009558</v>
      </c>
      <c r="C2970" t="str">
        <f>T("은천검제(2부 화산검제) 141화")</f>
        <v>은천검제(2부 화산검제) 141화</v>
      </c>
      <c r="D2970" t="str">
        <f>T("141")</f>
        <v>141</v>
      </c>
      <c r="E2970" t="str">
        <f t="shared" si="434"/>
        <v>무장</v>
      </c>
      <c r="H2970" t="str">
        <f t="shared" si="437"/>
        <v>스토리위즈</v>
      </c>
      <c r="I2970" t="str">
        <f t="shared" si="435"/>
        <v>은천검제(2부 화산검제)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V2970" t="str">
        <f t="shared" si="436"/>
        <v>판타지 웹소설 &gt; 무협 소설</v>
      </c>
    </row>
    <row r="2971" spans="1:48" x14ac:dyDescent="0.4">
      <c r="A2971">
        <v>2313009418</v>
      </c>
      <c r="B2971">
        <v>2313009559</v>
      </c>
      <c r="C2971" t="str">
        <f>T("은천검제(2부 화산검제) 142화")</f>
        <v>은천검제(2부 화산검제) 142화</v>
      </c>
      <c r="D2971" t="str">
        <f>T("142")</f>
        <v>142</v>
      </c>
      <c r="E2971" t="str">
        <f t="shared" si="434"/>
        <v>무장</v>
      </c>
      <c r="H2971" t="str">
        <f t="shared" si="437"/>
        <v>스토리위즈</v>
      </c>
      <c r="I2971" t="str">
        <f t="shared" si="435"/>
        <v>은천검제(2부 화산검제)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70</v>
      </c>
      <c r="AV2971" t="str">
        <f t="shared" si="436"/>
        <v>판타지 웹소설 &gt; 무협 소설</v>
      </c>
    </row>
    <row r="2972" spans="1:48" x14ac:dyDescent="0.4">
      <c r="A2972">
        <v>2313009418</v>
      </c>
      <c r="B2972">
        <v>2313009560</v>
      </c>
      <c r="C2972" t="str">
        <f>T("은천검제(2부 화산검제) 143화")</f>
        <v>은천검제(2부 화산검제) 143화</v>
      </c>
      <c r="D2972" t="str">
        <f>T("143")</f>
        <v>143</v>
      </c>
      <c r="E2972" t="str">
        <f t="shared" si="434"/>
        <v>무장</v>
      </c>
      <c r="H2972" t="str">
        <f t="shared" si="437"/>
        <v>스토리위즈</v>
      </c>
      <c r="I2972" t="str">
        <f t="shared" si="435"/>
        <v>은천검제(2부 화산검제)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70</v>
      </c>
      <c r="AV2972" t="str">
        <f t="shared" si="436"/>
        <v>판타지 웹소설 &gt; 무협 소설</v>
      </c>
    </row>
    <row r="2973" spans="1:48" x14ac:dyDescent="0.4">
      <c r="A2973">
        <v>2313009418</v>
      </c>
      <c r="B2973">
        <v>2313009561</v>
      </c>
      <c r="C2973" t="str">
        <f>T("은천검제(2부 화산검제) 144화")</f>
        <v>은천검제(2부 화산검제) 144화</v>
      </c>
      <c r="D2973" t="str">
        <f>T("144")</f>
        <v>144</v>
      </c>
      <c r="E2973" t="str">
        <f t="shared" si="434"/>
        <v>무장</v>
      </c>
      <c r="H2973" t="str">
        <f t="shared" si="437"/>
        <v>스토리위즈</v>
      </c>
      <c r="I2973" t="str">
        <f t="shared" si="435"/>
        <v>은천검제(2부 화산검제)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70</v>
      </c>
      <c r="AV2973" t="str">
        <f t="shared" si="436"/>
        <v>판타지 웹소설 &gt; 무협 소설</v>
      </c>
    </row>
    <row r="2974" spans="1:48" x14ac:dyDescent="0.4">
      <c r="A2974">
        <v>2313009418</v>
      </c>
      <c r="B2974">
        <v>2313009562</v>
      </c>
      <c r="C2974" t="str">
        <f>T("은천검제(2부 화산검제) 145화")</f>
        <v>은천검제(2부 화산검제) 145화</v>
      </c>
      <c r="D2974" t="str">
        <f>T("145")</f>
        <v>145</v>
      </c>
      <c r="E2974" t="str">
        <f t="shared" si="434"/>
        <v>무장</v>
      </c>
      <c r="H2974" t="str">
        <f t="shared" si="437"/>
        <v>스토리위즈</v>
      </c>
      <c r="I2974" t="str">
        <f t="shared" si="435"/>
        <v>은천검제(2부 화산검제)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70</v>
      </c>
      <c r="AV2974" t="str">
        <f t="shared" si="436"/>
        <v>판타지 웹소설 &gt; 무협 소설</v>
      </c>
    </row>
    <row r="2975" spans="1:48" x14ac:dyDescent="0.4">
      <c r="A2975">
        <v>2313009418</v>
      </c>
      <c r="B2975">
        <v>2313009563</v>
      </c>
      <c r="C2975" t="str">
        <f>T("은천검제(2부 화산검제) 146화")</f>
        <v>은천검제(2부 화산검제) 146화</v>
      </c>
      <c r="D2975" t="str">
        <f>T("146")</f>
        <v>146</v>
      </c>
      <c r="E2975" t="str">
        <f t="shared" si="434"/>
        <v>무장</v>
      </c>
      <c r="H2975" t="str">
        <f t="shared" si="437"/>
        <v>스토리위즈</v>
      </c>
      <c r="I2975" t="str">
        <f t="shared" si="435"/>
        <v>은천검제(2부 화산검제)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70</v>
      </c>
      <c r="AV2975" t="str">
        <f t="shared" si="436"/>
        <v>판타지 웹소설 &gt; 무협 소설</v>
      </c>
    </row>
    <row r="2976" spans="1:48" x14ac:dyDescent="0.4">
      <c r="A2976">
        <v>2313009418</v>
      </c>
      <c r="B2976">
        <v>2313009564</v>
      </c>
      <c r="C2976" t="str">
        <f>T("은천검제(2부 화산검제) 147화")</f>
        <v>은천검제(2부 화산검제) 147화</v>
      </c>
      <c r="D2976" t="str">
        <f>T("147")</f>
        <v>147</v>
      </c>
      <c r="E2976" t="str">
        <f t="shared" si="434"/>
        <v>무장</v>
      </c>
      <c r="H2976" t="str">
        <f t="shared" si="437"/>
        <v>스토리위즈</v>
      </c>
      <c r="I2976" t="str">
        <f t="shared" si="435"/>
        <v>은천검제(2부 화산검제)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70</v>
      </c>
      <c r="AV2976" t="str">
        <f t="shared" si="436"/>
        <v>판타지 웹소설 &gt; 무협 소설</v>
      </c>
    </row>
    <row r="2977" spans="1:48" x14ac:dyDescent="0.4">
      <c r="A2977">
        <v>2313009418</v>
      </c>
      <c r="B2977">
        <v>2313009565</v>
      </c>
      <c r="C2977" t="str">
        <f>T("은천검제(2부 화산검제) 148화")</f>
        <v>은천검제(2부 화산검제) 148화</v>
      </c>
      <c r="D2977" t="str">
        <f>T("148")</f>
        <v>148</v>
      </c>
      <c r="E2977" t="str">
        <f t="shared" si="434"/>
        <v>무장</v>
      </c>
      <c r="H2977" t="str">
        <f t="shared" si="437"/>
        <v>스토리위즈</v>
      </c>
      <c r="I2977" t="str">
        <f t="shared" si="435"/>
        <v>은천검제(2부 화산검제)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70</v>
      </c>
      <c r="AV2977" t="str">
        <f t="shared" si="436"/>
        <v>판타지 웹소설 &gt; 무협 소설</v>
      </c>
    </row>
    <row r="2978" spans="1:48" x14ac:dyDescent="0.4">
      <c r="A2978">
        <v>2313009418</v>
      </c>
      <c r="B2978">
        <v>2313009566</v>
      </c>
      <c r="C2978" t="str">
        <f>T("은천검제(2부 화산검제) 149화")</f>
        <v>은천검제(2부 화산검제) 149화</v>
      </c>
      <c r="D2978" t="str">
        <f>T("149")</f>
        <v>149</v>
      </c>
      <c r="E2978" t="str">
        <f t="shared" si="434"/>
        <v>무장</v>
      </c>
      <c r="H2978" t="str">
        <f t="shared" si="437"/>
        <v>스토리위즈</v>
      </c>
      <c r="I2978" t="str">
        <f t="shared" si="435"/>
        <v>은천검제(2부 화산검제)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70</v>
      </c>
      <c r="AV2978" t="str">
        <f t="shared" si="436"/>
        <v>판타지 웹소설 &gt; 무협 소설</v>
      </c>
    </row>
    <row r="2979" spans="1:48" x14ac:dyDescent="0.4">
      <c r="A2979">
        <v>2313009418</v>
      </c>
      <c r="B2979">
        <v>2313009567</v>
      </c>
      <c r="C2979" t="str">
        <f>T("은천검제(2부 화산검제) 150화")</f>
        <v>은천검제(2부 화산검제) 150화</v>
      </c>
      <c r="D2979" t="str">
        <f>T("150")</f>
        <v>150</v>
      </c>
      <c r="E2979" t="str">
        <f t="shared" si="434"/>
        <v>무장</v>
      </c>
      <c r="H2979" t="str">
        <f t="shared" si="437"/>
        <v>스토리위즈</v>
      </c>
      <c r="I2979" t="str">
        <f t="shared" si="435"/>
        <v>은천검제(2부 화산검제)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70</v>
      </c>
      <c r="AV2979" t="str">
        <f t="shared" si="436"/>
        <v>판타지 웹소설 &gt; 무협 소설</v>
      </c>
    </row>
    <row r="2980" spans="1:48" x14ac:dyDescent="0.4">
      <c r="A2980">
        <v>2313009418</v>
      </c>
      <c r="B2980">
        <v>2313009568</v>
      </c>
      <c r="C2980" t="str">
        <f>T("은천검제(2부 화산검제) 151화")</f>
        <v>은천검제(2부 화산검제) 151화</v>
      </c>
      <c r="D2980" t="str">
        <f>T("151")</f>
        <v>151</v>
      </c>
      <c r="E2980" t="str">
        <f t="shared" si="434"/>
        <v>무장</v>
      </c>
      <c r="H2980" t="str">
        <f t="shared" si="437"/>
        <v>스토리위즈</v>
      </c>
      <c r="I2980" t="str">
        <f t="shared" si="435"/>
        <v>은천검제(2부 화산검제)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70</v>
      </c>
      <c r="AV2980" t="str">
        <f t="shared" si="436"/>
        <v>판타지 웹소설 &gt; 무협 소설</v>
      </c>
    </row>
    <row r="2981" spans="1:48" x14ac:dyDescent="0.4">
      <c r="A2981">
        <v>2313009418</v>
      </c>
      <c r="B2981">
        <v>2313009569</v>
      </c>
      <c r="C2981" t="str">
        <f>T("은천검제(2부 화산검제) 152화")</f>
        <v>은천검제(2부 화산검제) 152화</v>
      </c>
      <c r="D2981" t="str">
        <f>T("152")</f>
        <v>152</v>
      </c>
      <c r="E2981" t="str">
        <f t="shared" si="434"/>
        <v>무장</v>
      </c>
      <c r="H2981" t="str">
        <f t="shared" si="437"/>
        <v>스토리위즈</v>
      </c>
      <c r="I2981" t="str">
        <f t="shared" si="435"/>
        <v>은천검제(2부 화산검제)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70</v>
      </c>
      <c r="AV2981" t="str">
        <f t="shared" si="436"/>
        <v>판타지 웹소설 &gt; 무협 소설</v>
      </c>
    </row>
    <row r="2982" spans="1:48" x14ac:dyDescent="0.4">
      <c r="A2982">
        <v>2313009418</v>
      </c>
      <c r="B2982">
        <v>2313009570</v>
      </c>
      <c r="C2982" t="str">
        <f>T("은천검제(2부 화산검제) 153화")</f>
        <v>은천검제(2부 화산검제) 153화</v>
      </c>
      <c r="D2982" t="str">
        <f>T("153")</f>
        <v>153</v>
      </c>
      <c r="E2982" t="str">
        <f t="shared" si="434"/>
        <v>무장</v>
      </c>
      <c r="H2982" t="str">
        <f t="shared" si="437"/>
        <v>스토리위즈</v>
      </c>
      <c r="I2982" t="str">
        <f t="shared" si="435"/>
        <v>은천검제(2부 화산검제)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70</v>
      </c>
      <c r="AV2982" t="str">
        <f t="shared" si="436"/>
        <v>판타지 웹소설 &gt; 무협 소설</v>
      </c>
    </row>
    <row r="2983" spans="1:48" x14ac:dyDescent="0.4">
      <c r="A2983">
        <v>2313009418</v>
      </c>
      <c r="B2983">
        <v>2313009571</v>
      </c>
      <c r="C2983" t="str">
        <f>T("은천검제(2부 화산검제) 154화")</f>
        <v>은천검제(2부 화산검제) 154화</v>
      </c>
      <c r="D2983" t="str">
        <f>T("154")</f>
        <v>154</v>
      </c>
      <c r="E2983" t="str">
        <f t="shared" si="434"/>
        <v>무장</v>
      </c>
      <c r="H2983" t="str">
        <f t="shared" si="437"/>
        <v>스토리위즈</v>
      </c>
      <c r="I2983" t="str">
        <f t="shared" si="435"/>
        <v>은천검제(2부 화산검제)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V2983" t="str">
        <f t="shared" si="436"/>
        <v>판타지 웹소설 &gt; 무협 소설</v>
      </c>
    </row>
    <row r="2984" spans="1:48" x14ac:dyDescent="0.4">
      <c r="A2984">
        <v>2313009418</v>
      </c>
      <c r="B2984">
        <v>2313009572</v>
      </c>
      <c r="C2984" t="str">
        <f>T("은천검제(2부 화산검제) 155화")</f>
        <v>은천검제(2부 화산검제) 155화</v>
      </c>
      <c r="D2984" t="str">
        <f>T("155")</f>
        <v>155</v>
      </c>
      <c r="E2984" t="str">
        <f t="shared" si="434"/>
        <v>무장</v>
      </c>
      <c r="H2984" t="str">
        <f t="shared" si="437"/>
        <v>스토리위즈</v>
      </c>
      <c r="I2984" t="str">
        <f t="shared" si="435"/>
        <v>은천검제(2부 화산검제)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V2984" t="str">
        <f t="shared" si="436"/>
        <v>판타지 웹소설 &gt; 무협 소설</v>
      </c>
    </row>
    <row r="2985" spans="1:48" x14ac:dyDescent="0.4">
      <c r="A2985">
        <v>2313009418</v>
      </c>
      <c r="B2985">
        <v>2313009573</v>
      </c>
      <c r="C2985" t="str">
        <f>T("은천검제(2부 화산검제) 156화")</f>
        <v>은천검제(2부 화산검제) 156화</v>
      </c>
      <c r="D2985" t="str">
        <f>T("156")</f>
        <v>156</v>
      </c>
      <c r="E2985" t="str">
        <f t="shared" si="434"/>
        <v>무장</v>
      </c>
      <c r="H2985" t="str">
        <f t="shared" si="437"/>
        <v>스토리위즈</v>
      </c>
      <c r="I2985" t="str">
        <f t="shared" si="435"/>
        <v>은천검제(2부 화산검제)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V2985" t="str">
        <f t="shared" si="436"/>
        <v>판타지 웹소설 &gt; 무협 소설</v>
      </c>
    </row>
    <row r="2986" spans="1:48" x14ac:dyDescent="0.4">
      <c r="A2986">
        <v>2313009418</v>
      </c>
      <c r="B2986">
        <v>2313009574</v>
      </c>
      <c r="C2986" t="str">
        <f>T("은천검제(2부 화산검제) 157화")</f>
        <v>은천검제(2부 화산검제) 157화</v>
      </c>
      <c r="D2986" t="str">
        <f>T("157")</f>
        <v>157</v>
      </c>
      <c r="E2986" t="str">
        <f t="shared" si="434"/>
        <v>무장</v>
      </c>
      <c r="H2986" t="str">
        <f t="shared" si="437"/>
        <v>스토리위즈</v>
      </c>
      <c r="I2986" t="str">
        <f t="shared" si="435"/>
        <v>은천검제(2부 화산검제)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V2986" t="str">
        <f t="shared" si="436"/>
        <v>판타지 웹소설 &gt; 무협 소설</v>
      </c>
    </row>
    <row r="2987" spans="1:48" x14ac:dyDescent="0.4">
      <c r="A2987">
        <v>2313009418</v>
      </c>
      <c r="B2987">
        <v>2313009575</v>
      </c>
      <c r="C2987" t="str">
        <f>T("은천검제(2부 화산검제) 158화")</f>
        <v>은천검제(2부 화산검제) 158화</v>
      </c>
      <c r="D2987" t="str">
        <f>T("158")</f>
        <v>158</v>
      </c>
      <c r="E2987" t="str">
        <f t="shared" si="434"/>
        <v>무장</v>
      </c>
      <c r="H2987" t="str">
        <f t="shared" si="437"/>
        <v>스토리위즈</v>
      </c>
      <c r="I2987" t="str">
        <f t="shared" si="435"/>
        <v>은천검제(2부 화산검제)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V2987" t="str">
        <f t="shared" si="436"/>
        <v>판타지 웹소설 &gt; 무협 소설</v>
      </c>
    </row>
    <row r="2988" spans="1:48" x14ac:dyDescent="0.4">
      <c r="A2988">
        <v>2313009418</v>
      </c>
      <c r="B2988">
        <v>2313009576</v>
      </c>
      <c r="C2988" t="str">
        <f>T("은천검제(2부 화산검제) 159화")</f>
        <v>은천검제(2부 화산검제) 159화</v>
      </c>
      <c r="D2988" t="str">
        <f>T("159")</f>
        <v>159</v>
      </c>
      <c r="E2988" t="str">
        <f t="shared" si="434"/>
        <v>무장</v>
      </c>
      <c r="H2988" t="str">
        <f t="shared" si="437"/>
        <v>스토리위즈</v>
      </c>
      <c r="I2988" t="str">
        <f t="shared" si="435"/>
        <v>은천검제(2부 화산검제)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V2988" t="str">
        <f t="shared" si="436"/>
        <v>판타지 웹소설 &gt; 무협 소설</v>
      </c>
    </row>
    <row r="2989" spans="1:48" x14ac:dyDescent="0.4">
      <c r="A2989">
        <v>2313009418</v>
      </c>
      <c r="B2989">
        <v>2313009577</v>
      </c>
      <c r="C2989" t="str">
        <f>T("은천검제(2부 화산검제) 160화")</f>
        <v>은천검제(2부 화산검제) 160화</v>
      </c>
      <c r="D2989" t="str">
        <f>T("160")</f>
        <v>160</v>
      </c>
      <c r="E2989" t="str">
        <f t="shared" ref="E2989:E3016" si="438">T("무장")</f>
        <v>무장</v>
      </c>
      <c r="H2989" t="str">
        <f t="shared" si="437"/>
        <v>스토리위즈</v>
      </c>
      <c r="I2989" t="str">
        <f t="shared" ref="I2989:I3016" si="439">T("은천검제(2부 화산검제)")</f>
        <v>은천검제(2부 화산검제)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V2989" t="str">
        <f t="shared" ref="AV2989:AV3016" si="440">T("판타지 웹소설 &gt; 무협 소설")</f>
        <v>판타지 웹소설 &gt; 무협 소설</v>
      </c>
    </row>
    <row r="2990" spans="1:48" x14ac:dyDescent="0.4">
      <c r="A2990">
        <v>2313009418</v>
      </c>
      <c r="B2990">
        <v>2313009578</v>
      </c>
      <c r="C2990" t="str">
        <f>T("은천검제(2부 화산검제) 161화")</f>
        <v>은천검제(2부 화산검제) 161화</v>
      </c>
      <c r="D2990" t="str">
        <f>T("161")</f>
        <v>161</v>
      </c>
      <c r="E2990" t="str">
        <f t="shared" si="438"/>
        <v>무장</v>
      </c>
      <c r="H2990" t="str">
        <f t="shared" si="437"/>
        <v>스토리위즈</v>
      </c>
      <c r="I2990" t="str">
        <f t="shared" si="439"/>
        <v>은천검제(2부 화산검제)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V2990" t="str">
        <f t="shared" si="440"/>
        <v>판타지 웹소설 &gt; 무협 소설</v>
      </c>
    </row>
    <row r="2991" spans="1:48" x14ac:dyDescent="0.4">
      <c r="A2991">
        <v>2313009418</v>
      </c>
      <c r="B2991">
        <v>2313009609</v>
      </c>
      <c r="C2991" t="str">
        <f>T("은천검제(2부 화산검제) 192화")</f>
        <v>은천검제(2부 화산검제) 192화</v>
      </c>
      <c r="D2991" t="str">
        <f>T("192")</f>
        <v>192</v>
      </c>
      <c r="E2991" t="str">
        <f t="shared" si="438"/>
        <v>무장</v>
      </c>
      <c r="H2991" t="str">
        <f t="shared" si="437"/>
        <v>스토리위즈</v>
      </c>
      <c r="I2991" t="str">
        <f t="shared" si="439"/>
        <v>은천검제(2부 화산검제)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V2991" t="str">
        <f t="shared" si="440"/>
        <v>판타지 웹소설 &gt; 무협 소설</v>
      </c>
    </row>
    <row r="2992" spans="1:48" x14ac:dyDescent="0.4">
      <c r="A2992">
        <v>2313009418</v>
      </c>
      <c r="B2992">
        <v>2313009610</v>
      </c>
      <c r="C2992" t="str">
        <f>T("은천검제(2부 화산검제) 193화")</f>
        <v>은천검제(2부 화산검제) 193화</v>
      </c>
      <c r="D2992" t="str">
        <f>T("193")</f>
        <v>193</v>
      </c>
      <c r="E2992" t="str">
        <f t="shared" si="438"/>
        <v>무장</v>
      </c>
      <c r="H2992" t="str">
        <f t="shared" si="437"/>
        <v>스토리위즈</v>
      </c>
      <c r="I2992" t="str">
        <f t="shared" si="439"/>
        <v>은천검제(2부 화산검제)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V2992" t="str">
        <f t="shared" si="440"/>
        <v>판타지 웹소설 &gt; 무협 소설</v>
      </c>
    </row>
    <row r="2993" spans="1:48" x14ac:dyDescent="0.4">
      <c r="A2993">
        <v>2313009418</v>
      </c>
      <c r="B2993">
        <v>2313009611</v>
      </c>
      <c r="C2993" t="str">
        <f>T("은천검제(2부 화산검제) 194화")</f>
        <v>은천검제(2부 화산검제) 194화</v>
      </c>
      <c r="D2993" t="str">
        <f>T("194")</f>
        <v>194</v>
      </c>
      <c r="E2993" t="str">
        <f t="shared" si="438"/>
        <v>무장</v>
      </c>
      <c r="H2993" t="str">
        <f t="shared" si="437"/>
        <v>스토리위즈</v>
      </c>
      <c r="I2993" t="str">
        <f t="shared" si="439"/>
        <v>은천검제(2부 화산검제)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V2993" t="str">
        <f t="shared" si="440"/>
        <v>판타지 웹소설 &gt; 무협 소설</v>
      </c>
    </row>
    <row r="2994" spans="1:48" x14ac:dyDescent="0.4">
      <c r="A2994">
        <v>2313009418</v>
      </c>
      <c r="B2994">
        <v>2313009612</v>
      </c>
      <c r="C2994" t="str">
        <f>T("은천검제(2부 화산검제) 195화")</f>
        <v>은천검제(2부 화산검제) 195화</v>
      </c>
      <c r="D2994" t="str">
        <f>T("195")</f>
        <v>195</v>
      </c>
      <c r="E2994" t="str">
        <f t="shared" si="438"/>
        <v>무장</v>
      </c>
      <c r="H2994" t="str">
        <f t="shared" si="437"/>
        <v>스토리위즈</v>
      </c>
      <c r="I2994" t="str">
        <f t="shared" si="439"/>
        <v>은천검제(2부 화산검제)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V2994" t="str">
        <f t="shared" si="440"/>
        <v>판타지 웹소설 &gt; 무협 소설</v>
      </c>
    </row>
    <row r="2995" spans="1:48" x14ac:dyDescent="0.4">
      <c r="A2995">
        <v>2313009418</v>
      </c>
      <c r="B2995">
        <v>2313009613</v>
      </c>
      <c r="C2995" t="str">
        <f>T("은천검제(2부 화산검제) 196화")</f>
        <v>은천검제(2부 화산검제) 196화</v>
      </c>
      <c r="D2995" t="str">
        <f>T("196")</f>
        <v>196</v>
      </c>
      <c r="E2995" t="str">
        <f t="shared" si="438"/>
        <v>무장</v>
      </c>
      <c r="H2995" t="str">
        <f t="shared" si="437"/>
        <v>스토리위즈</v>
      </c>
      <c r="I2995" t="str">
        <f t="shared" si="439"/>
        <v>은천검제(2부 화산검제)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V2995" t="str">
        <f t="shared" si="440"/>
        <v>판타지 웹소설 &gt; 무협 소설</v>
      </c>
    </row>
    <row r="2996" spans="1:48" x14ac:dyDescent="0.4">
      <c r="A2996">
        <v>2313009418</v>
      </c>
      <c r="B2996">
        <v>2313009614</v>
      </c>
      <c r="C2996" t="str">
        <f>T("은천검제(2부 화산검제) 197화")</f>
        <v>은천검제(2부 화산검제) 197화</v>
      </c>
      <c r="D2996" t="str">
        <f>T("197")</f>
        <v>197</v>
      </c>
      <c r="E2996" t="str">
        <f t="shared" si="438"/>
        <v>무장</v>
      </c>
      <c r="H2996" t="str">
        <f t="shared" si="437"/>
        <v>스토리위즈</v>
      </c>
      <c r="I2996" t="str">
        <f t="shared" si="439"/>
        <v>은천검제(2부 화산검제)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V2996" t="str">
        <f t="shared" si="440"/>
        <v>판타지 웹소설 &gt; 무협 소설</v>
      </c>
    </row>
    <row r="2997" spans="1:48" x14ac:dyDescent="0.4">
      <c r="A2997">
        <v>2313009418</v>
      </c>
      <c r="B2997">
        <v>2313009615</v>
      </c>
      <c r="C2997" t="str">
        <f>T("은천검제(2부 화산검제) 198화")</f>
        <v>은천검제(2부 화산검제) 198화</v>
      </c>
      <c r="D2997" t="str">
        <f>T("198")</f>
        <v>198</v>
      </c>
      <c r="E2997" t="str">
        <f t="shared" si="438"/>
        <v>무장</v>
      </c>
      <c r="H2997" t="str">
        <f t="shared" si="437"/>
        <v>스토리위즈</v>
      </c>
      <c r="I2997" t="str">
        <f t="shared" si="439"/>
        <v>은천검제(2부 화산검제)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V2997" t="str">
        <f t="shared" si="440"/>
        <v>판타지 웹소설 &gt; 무협 소설</v>
      </c>
    </row>
    <row r="2998" spans="1:48" x14ac:dyDescent="0.4">
      <c r="A2998">
        <v>2313009418</v>
      </c>
      <c r="B2998">
        <v>2313009616</v>
      </c>
      <c r="C2998" t="str">
        <f>T("은천검제(2부 화산검제) 199화")</f>
        <v>은천검제(2부 화산검제) 199화</v>
      </c>
      <c r="D2998" t="str">
        <f>T("199")</f>
        <v>199</v>
      </c>
      <c r="E2998" t="str">
        <f t="shared" si="438"/>
        <v>무장</v>
      </c>
      <c r="H2998" t="str">
        <f t="shared" si="437"/>
        <v>스토리위즈</v>
      </c>
      <c r="I2998" t="str">
        <f t="shared" si="439"/>
        <v>은천검제(2부 화산검제)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V2998" t="str">
        <f t="shared" si="440"/>
        <v>판타지 웹소설 &gt; 무협 소설</v>
      </c>
    </row>
    <row r="2999" spans="1:48" x14ac:dyDescent="0.4">
      <c r="A2999">
        <v>2313009418</v>
      </c>
      <c r="B2999">
        <v>2313009617</v>
      </c>
      <c r="C2999" t="str">
        <f>T("은천검제(2부 화산검제) 200화")</f>
        <v>은천검제(2부 화산검제) 200화</v>
      </c>
      <c r="D2999" t="str">
        <f>T("200")</f>
        <v>200</v>
      </c>
      <c r="E2999" t="str">
        <f t="shared" si="438"/>
        <v>무장</v>
      </c>
      <c r="H2999" t="str">
        <f t="shared" si="437"/>
        <v>스토리위즈</v>
      </c>
      <c r="I2999" t="str">
        <f t="shared" si="439"/>
        <v>은천검제(2부 화산검제)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V2999" t="str">
        <f t="shared" si="440"/>
        <v>판타지 웹소설 &gt; 무협 소설</v>
      </c>
    </row>
    <row r="3000" spans="1:48" x14ac:dyDescent="0.4">
      <c r="A3000">
        <v>2313009418</v>
      </c>
      <c r="B3000">
        <v>2313009618</v>
      </c>
      <c r="C3000" t="str">
        <f>T("은천검제(2부 화산검제) 201화")</f>
        <v>은천검제(2부 화산검제) 201화</v>
      </c>
      <c r="D3000" t="str">
        <f>T("201")</f>
        <v>201</v>
      </c>
      <c r="E3000" t="str">
        <f t="shared" si="438"/>
        <v>무장</v>
      </c>
      <c r="H3000" t="str">
        <f t="shared" si="437"/>
        <v>스토리위즈</v>
      </c>
      <c r="I3000" t="str">
        <f t="shared" si="439"/>
        <v>은천검제(2부 화산검제)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V3000" t="str">
        <f t="shared" si="440"/>
        <v>판타지 웹소설 &gt; 무협 소설</v>
      </c>
    </row>
    <row r="3001" spans="1:48" x14ac:dyDescent="0.4">
      <c r="A3001">
        <v>2313009418</v>
      </c>
      <c r="B3001">
        <v>2313009619</v>
      </c>
      <c r="C3001" t="str">
        <f>T("은천검제(2부 화산검제) 202화")</f>
        <v>은천검제(2부 화산검제) 202화</v>
      </c>
      <c r="D3001" t="str">
        <f>T("202")</f>
        <v>202</v>
      </c>
      <c r="E3001" t="str">
        <f t="shared" si="438"/>
        <v>무장</v>
      </c>
      <c r="H3001" t="str">
        <f t="shared" ref="H3001:H3064" si="441">T("스토리위즈")</f>
        <v>스토리위즈</v>
      </c>
      <c r="I3001" t="str">
        <f t="shared" si="439"/>
        <v>은천검제(2부 화산검제)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V3001" t="str">
        <f t="shared" si="440"/>
        <v>판타지 웹소설 &gt; 무협 소설</v>
      </c>
    </row>
    <row r="3002" spans="1:48" x14ac:dyDescent="0.4">
      <c r="A3002">
        <v>2313009418</v>
      </c>
      <c r="B3002">
        <v>2313009620</v>
      </c>
      <c r="C3002" t="str">
        <f>T("은천검제(2부 화산검제) 203화")</f>
        <v>은천검제(2부 화산검제) 203화</v>
      </c>
      <c r="D3002" t="str">
        <f>T("203")</f>
        <v>203</v>
      </c>
      <c r="E3002" t="str">
        <f t="shared" si="438"/>
        <v>무장</v>
      </c>
      <c r="H3002" t="str">
        <f t="shared" si="441"/>
        <v>스토리위즈</v>
      </c>
      <c r="I3002" t="str">
        <f t="shared" si="439"/>
        <v>은천검제(2부 화산검제)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V3002" t="str">
        <f t="shared" si="440"/>
        <v>판타지 웹소설 &gt; 무협 소설</v>
      </c>
    </row>
    <row r="3003" spans="1:48" x14ac:dyDescent="0.4">
      <c r="A3003">
        <v>2313009418</v>
      </c>
      <c r="B3003">
        <v>2313009621</v>
      </c>
      <c r="C3003" t="str">
        <f>T("은천검제(2부 화산검제) 204화")</f>
        <v>은천검제(2부 화산검제) 204화</v>
      </c>
      <c r="D3003" t="str">
        <f>T("204")</f>
        <v>204</v>
      </c>
      <c r="E3003" t="str">
        <f t="shared" si="438"/>
        <v>무장</v>
      </c>
      <c r="H3003" t="str">
        <f t="shared" si="441"/>
        <v>스토리위즈</v>
      </c>
      <c r="I3003" t="str">
        <f t="shared" si="439"/>
        <v>은천검제(2부 화산검제)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V3003" t="str">
        <f t="shared" si="440"/>
        <v>판타지 웹소설 &gt; 무협 소설</v>
      </c>
    </row>
    <row r="3004" spans="1:48" x14ac:dyDescent="0.4">
      <c r="A3004">
        <v>2313009418</v>
      </c>
      <c r="B3004">
        <v>2313009622</v>
      </c>
      <c r="C3004" t="str">
        <f>T("은천검제(2부 화산검제) 205화")</f>
        <v>은천검제(2부 화산검제) 205화</v>
      </c>
      <c r="D3004" t="str">
        <f>T("205")</f>
        <v>205</v>
      </c>
      <c r="E3004" t="str">
        <f t="shared" si="438"/>
        <v>무장</v>
      </c>
      <c r="H3004" t="str">
        <f t="shared" si="441"/>
        <v>스토리위즈</v>
      </c>
      <c r="I3004" t="str">
        <f t="shared" si="439"/>
        <v>은천검제(2부 화산검제)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V3004" t="str">
        <f t="shared" si="440"/>
        <v>판타지 웹소설 &gt; 무협 소설</v>
      </c>
    </row>
    <row r="3005" spans="1:48" x14ac:dyDescent="0.4">
      <c r="A3005">
        <v>2313009418</v>
      </c>
      <c r="B3005">
        <v>2313009623</v>
      </c>
      <c r="C3005" t="str">
        <f>T("은천검제(2부 화산검제) 206화")</f>
        <v>은천검제(2부 화산검제) 206화</v>
      </c>
      <c r="D3005" t="str">
        <f>T("206")</f>
        <v>206</v>
      </c>
      <c r="E3005" t="str">
        <f t="shared" si="438"/>
        <v>무장</v>
      </c>
      <c r="H3005" t="str">
        <f t="shared" si="441"/>
        <v>스토리위즈</v>
      </c>
      <c r="I3005" t="str">
        <f t="shared" si="439"/>
        <v>은천검제(2부 화산검제)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V3005" t="str">
        <f t="shared" si="440"/>
        <v>판타지 웹소설 &gt; 무협 소설</v>
      </c>
    </row>
    <row r="3006" spans="1:48" x14ac:dyDescent="0.4">
      <c r="A3006">
        <v>2313009418</v>
      </c>
      <c r="B3006">
        <v>2313009624</v>
      </c>
      <c r="C3006" t="str">
        <f>T("은천검제(2부 화산검제) 207화")</f>
        <v>은천검제(2부 화산검제) 207화</v>
      </c>
      <c r="D3006" t="str">
        <f>T("207")</f>
        <v>207</v>
      </c>
      <c r="E3006" t="str">
        <f t="shared" si="438"/>
        <v>무장</v>
      </c>
      <c r="H3006" t="str">
        <f t="shared" si="441"/>
        <v>스토리위즈</v>
      </c>
      <c r="I3006" t="str">
        <f t="shared" si="439"/>
        <v>은천검제(2부 화산검제)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V3006" t="str">
        <f t="shared" si="440"/>
        <v>판타지 웹소설 &gt; 무협 소설</v>
      </c>
    </row>
    <row r="3007" spans="1:48" x14ac:dyDescent="0.4">
      <c r="A3007">
        <v>2313009418</v>
      </c>
      <c r="B3007">
        <v>2313009625</v>
      </c>
      <c r="C3007" t="str">
        <f>T("은천검제(2부 화산검제) 208화")</f>
        <v>은천검제(2부 화산검제) 208화</v>
      </c>
      <c r="D3007" t="str">
        <f>T("208")</f>
        <v>208</v>
      </c>
      <c r="E3007" t="str">
        <f t="shared" si="438"/>
        <v>무장</v>
      </c>
      <c r="H3007" t="str">
        <f t="shared" si="441"/>
        <v>스토리위즈</v>
      </c>
      <c r="I3007" t="str">
        <f t="shared" si="439"/>
        <v>은천검제(2부 화산검제)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V3007" t="str">
        <f t="shared" si="440"/>
        <v>판타지 웹소설 &gt; 무협 소설</v>
      </c>
    </row>
    <row r="3008" spans="1:48" x14ac:dyDescent="0.4">
      <c r="A3008">
        <v>2313009418</v>
      </c>
      <c r="B3008">
        <v>2313009626</v>
      </c>
      <c r="C3008" t="str">
        <f>T("은천검제(2부 화산검제) 209화")</f>
        <v>은천검제(2부 화산검제) 209화</v>
      </c>
      <c r="D3008" t="str">
        <f>T("209")</f>
        <v>209</v>
      </c>
      <c r="E3008" t="str">
        <f t="shared" si="438"/>
        <v>무장</v>
      </c>
      <c r="H3008" t="str">
        <f t="shared" si="441"/>
        <v>스토리위즈</v>
      </c>
      <c r="I3008" t="str">
        <f t="shared" si="439"/>
        <v>은천검제(2부 화산검제)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V3008" t="str">
        <f t="shared" si="440"/>
        <v>판타지 웹소설 &gt; 무협 소설</v>
      </c>
    </row>
    <row r="3009" spans="1:48" x14ac:dyDescent="0.4">
      <c r="A3009">
        <v>2313009418</v>
      </c>
      <c r="B3009">
        <v>2313009627</v>
      </c>
      <c r="C3009" t="str">
        <f>T("은천검제(2부 화산검제) 210화")</f>
        <v>은천검제(2부 화산검제) 210화</v>
      </c>
      <c r="D3009" t="str">
        <f>T("210")</f>
        <v>210</v>
      </c>
      <c r="E3009" t="str">
        <f t="shared" si="438"/>
        <v>무장</v>
      </c>
      <c r="H3009" t="str">
        <f t="shared" si="441"/>
        <v>스토리위즈</v>
      </c>
      <c r="I3009" t="str">
        <f t="shared" si="439"/>
        <v>은천검제(2부 화산검제)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V3009" t="str">
        <f t="shared" si="440"/>
        <v>판타지 웹소설 &gt; 무협 소설</v>
      </c>
    </row>
    <row r="3010" spans="1:48" x14ac:dyDescent="0.4">
      <c r="A3010">
        <v>2313009418</v>
      </c>
      <c r="B3010">
        <v>2313009628</v>
      </c>
      <c r="C3010" t="str">
        <f>T("은천검제(2부 화산검제) 211화")</f>
        <v>은천검제(2부 화산검제) 211화</v>
      </c>
      <c r="D3010" t="str">
        <f>T("211")</f>
        <v>211</v>
      </c>
      <c r="E3010" t="str">
        <f t="shared" si="438"/>
        <v>무장</v>
      </c>
      <c r="H3010" t="str">
        <f t="shared" si="441"/>
        <v>스토리위즈</v>
      </c>
      <c r="I3010" t="str">
        <f t="shared" si="439"/>
        <v>은천검제(2부 화산검제)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V3010" t="str">
        <f t="shared" si="440"/>
        <v>판타지 웹소설 &gt; 무협 소설</v>
      </c>
    </row>
    <row r="3011" spans="1:48" x14ac:dyDescent="0.4">
      <c r="A3011">
        <v>2313009418</v>
      </c>
      <c r="B3011">
        <v>2313009629</v>
      </c>
      <c r="C3011" t="str">
        <f>T("은천검제(2부 화산검제) 212화")</f>
        <v>은천검제(2부 화산검제) 212화</v>
      </c>
      <c r="D3011" t="str">
        <f>T("212")</f>
        <v>212</v>
      </c>
      <c r="E3011" t="str">
        <f t="shared" si="438"/>
        <v>무장</v>
      </c>
      <c r="H3011" t="str">
        <f t="shared" si="441"/>
        <v>스토리위즈</v>
      </c>
      <c r="I3011" t="str">
        <f t="shared" si="439"/>
        <v>은천검제(2부 화산검제)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V3011" t="str">
        <f t="shared" si="440"/>
        <v>판타지 웹소설 &gt; 무협 소설</v>
      </c>
    </row>
    <row r="3012" spans="1:48" x14ac:dyDescent="0.4">
      <c r="A3012">
        <v>2313009418</v>
      </c>
      <c r="B3012">
        <v>2313009630</v>
      </c>
      <c r="C3012" t="str">
        <f>T("은천검제(2부 화산검제) 213화")</f>
        <v>은천검제(2부 화산검제) 213화</v>
      </c>
      <c r="D3012" t="str">
        <f>T("213")</f>
        <v>213</v>
      </c>
      <c r="E3012" t="str">
        <f t="shared" si="438"/>
        <v>무장</v>
      </c>
      <c r="H3012" t="str">
        <f t="shared" si="441"/>
        <v>스토리위즈</v>
      </c>
      <c r="I3012" t="str">
        <f t="shared" si="439"/>
        <v>은천검제(2부 화산검제)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V3012" t="str">
        <f t="shared" si="440"/>
        <v>판타지 웹소설 &gt; 무협 소설</v>
      </c>
    </row>
    <row r="3013" spans="1:48" x14ac:dyDescent="0.4">
      <c r="A3013">
        <v>2313009418</v>
      </c>
      <c r="B3013">
        <v>2313009631</v>
      </c>
      <c r="C3013" t="str">
        <f>T("은천검제(2부 화산검제) 214화")</f>
        <v>은천검제(2부 화산검제) 214화</v>
      </c>
      <c r="D3013" t="str">
        <f>T("214")</f>
        <v>214</v>
      </c>
      <c r="E3013" t="str">
        <f t="shared" si="438"/>
        <v>무장</v>
      </c>
      <c r="H3013" t="str">
        <f t="shared" si="441"/>
        <v>스토리위즈</v>
      </c>
      <c r="I3013" t="str">
        <f t="shared" si="439"/>
        <v>은천검제(2부 화산검제)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V3013" t="str">
        <f t="shared" si="440"/>
        <v>판타지 웹소설 &gt; 무협 소설</v>
      </c>
    </row>
    <row r="3014" spans="1:48" x14ac:dyDescent="0.4">
      <c r="A3014">
        <v>2313009418</v>
      </c>
      <c r="B3014">
        <v>2313009632</v>
      </c>
      <c r="C3014" t="str">
        <f>T("은천검제(2부 화산검제) 215화")</f>
        <v>은천검제(2부 화산검제) 215화</v>
      </c>
      <c r="D3014" t="str">
        <f>T("215")</f>
        <v>215</v>
      </c>
      <c r="E3014" t="str">
        <f t="shared" si="438"/>
        <v>무장</v>
      </c>
      <c r="H3014" t="str">
        <f t="shared" si="441"/>
        <v>스토리위즈</v>
      </c>
      <c r="I3014" t="str">
        <f t="shared" si="439"/>
        <v>은천검제(2부 화산검제)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V3014" t="str">
        <f t="shared" si="440"/>
        <v>판타지 웹소설 &gt; 무협 소설</v>
      </c>
    </row>
    <row r="3015" spans="1:48" x14ac:dyDescent="0.4">
      <c r="A3015">
        <v>2313009418</v>
      </c>
      <c r="B3015">
        <v>2313009633</v>
      </c>
      <c r="C3015" t="str">
        <f>T("은천검제(2부 화산검제) 216화")</f>
        <v>은천검제(2부 화산검제) 216화</v>
      </c>
      <c r="D3015" t="str">
        <f>T("216")</f>
        <v>216</v>
      </c>
      <c r="E3015" t="str">
        <f t="shared" si="438"/>
        <v>무장</v>
      </c>
      <c r="H3015" t="str">
        <f t="shared" si="441"/>
        <v>스토리위즈</v>
      </c>
      <c r="I3015" t="str">
        <f t="shared" si="439"/>
        <v>은천검제(2부 화산검제)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V3015" t="str">
        <f t="shared" si="440"/>
        <v>판타지 웹소설 &gt; 무협 소설</v>
      </c>
    </row>
    <row r="3016" spans="1:48" x14ac:dyDescent="0.4">
      <c r="A3016">
        <v>2313009418</v>
      </c>
      <c r="B3016">
        <v>2313009634</v>
      </c>
      <c r="C3016" t="str">
        <f>T("은천검제(2부 화산검제) 217화")</f>
        <v>은천검제(2부 화산검제) 217화</v>
      </c>
      <c r="D3016" t="str">
        <f>T("217")</f>
        <v>217</v>
      </c>
      <c r="E3016" t="str">
        <f t="shared" si="438"/>
        <v>무장</v>
      </c>
      <c r="H3016" t="str">
        <f t="shared" si="441"/>
        <v>스토리위즈</v>
      </c>
      <c r="I3016" t="str">
        <f t="shared" si="439"/>
        <v>은천검제(2부 화산검제)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V3016" t="str">
        <f t="shared" si="440"/>
        <v>판타지 웹소설 &gt; 무협 소설</v>
      </c>
    </row>
    <row r="3017" spans="1:48" x14ac:dyDescent="0.4">
      <c r="A3017">
        <v>2313009749</v>
      </c>
      <c r="B3017">
        <v>2313009775</v>
      </c>
      <c r="C3017" t="str">
        <f>T("리얼 머니 27화")</f>
        <v>리얼 머니 27화</v>
      </c>
      <c r="D3017" t="str">
        <f>T("27")</f>
        <v>27</v>
      </c>
      <c r="E3017" t="str">
        <f t="shared" ref="E3017:E3049" si="442">T("진문")</f>
        <v>진문</v>
      </c>
      <c r="H3017" t="str">
        <f t="shared" si="441"/>
        <v>스토리위즈</v>
      </c>
      <c r="I3017" t="str">
        <f t="shared" ref="I3017:I3049" si="443">T("리얼 머니")</f>
        <v>리얼 머니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ref="AT3017:AT3049" si="444">T("9791166068942")</f>
        <v>9791166068942</v>
      </c>
      <c r="AV3017" t="str">
        <f t="shared" ref="AV3017:AV3049" si="445">T("판타지 웹소설 &gt; 현대 판타지")</f>
        <v>판타지 웹소설 &gt; 현대 판타지</v>
      </c>
    </row>
    <row r="3018" spans="1:48" x14ac:dyDescent="0.4">
      <c r="A3018">
        <v>2313009749</v>
      </c>
      <c r="B3018">
        <v>2313009776</v>
      </c>
      <c r="C3018" t="str">
        <f>T("리얼 머니 28화")</f>
        <v>리얼 머니 28화</v>
      </c>
      <c r="D3018" t="str">
        <f>T("28")</f>
        <v>28</v>
      </c>
      <c r="E3018" t="str">
        <f t="shared" si="442"/>
        <v>진문</v>
      </c>
      <c r="H3018" t="str">
        <f t="shared" si="441"/>
        <v>스토리위즈</v>
      </c>
      <c r="I3018" t="str">
        <f t="shared" si="443"/>
        <v>리얼 머니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444"/>
        <v>9791166068942</v>
      </c>
      <c r="AV3018" t="str">
        <f t="shared" si="445"/>
        <v>판타지 웹소설 &gt; 현대 판타지</v>
      </c>
    </row>
    <row r="3019" spans="1:48" x14ac:dyDescent="0.4">
      <c r="A3019">
        <v>2313009749</v>
      </c>
      <c r="B3019">
        <v>2313009777</v>
      </c>
      <c r="C3019" t="str">
        <f>T("리얼 머니 29화")</f>
        <v>리얼 머니 29화</v>
      </c>
      <c r="D3019" t="str">
        <f>T("29")</f>
        <v>29</v>
      </c>
      <c r="E3019" t="str">
        <f t="shared" si="442"/>
        <v>진문</v>
      </c>
      <c r="H3019" t="str">
        <f t="shared" si="441"/>
        <v>스토리위즈</v>
      </c>
      <c r="I3019" t="str">
        <f t="shared" si="443"/>
        <v>리얼 머니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444"/>
        <v>9791166068942</v>
      </c>
      <c r="AV3019" t="str">
        <f t="shared" si="445"/>
        <v>판타지 웹소설 &gt; 현대 판타지</v>
      </c>
    </row>
    <row r="3020" spans="1:48" x14ac:dyDescent="0.4">
      <c r="A3020">
        <v>2313009749</v>
      </c>
      <c r="B3020">
        <v>2313009778</v>
      </c>
      <c r="C3020" t="str">
        <f>T("리얼 머니 30화")</f>
        <v>리얼 머니 30화</v>
      </c>
      <c r="D3020" t="str">
        <f>T("30")</f>
        <v>30</v>
      </c>
      <c r="E3020" t="str">
        <f t="shared" si="442"/>
        <v>진문</v>
      </c>
      <c r="H3020" t="str">
        <f t="shared" si="441"/>
        <v>스토리위즈</v>
      </c>
      <c r="I3020" t="str">
        <f t="shared" si="443"/>
        <v>리얼 머니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444"/>
        <v>9791166068942</v>
      </c>
      <c r="AV3020" t="str">
        <f t="shared" si="445"/>
        <v>판타지 웹소설 &gt; 현대 판타지</v>
      </c>
    </row>
    <row r="3021" spans="1:48" x14ac:dyDescent="0.4">
      <c r="A3021">
        <v>2313009749</v>
      </c>
      <c r="B3021">
        <v>2313009779</v>
      </c>
      <c r="C3021" t="str">
        <f>T("리얼 머니 31화")</f>
        <v>리얼 머니 31화</v>
      </c>
      <c r="D3021" t="str">
        <f>T("31")</f>
        <v>31</v>
      </c>
      <c r="E3021" t="str">
        <f t="shared" si="442"/>
        <v>진문</v>
      </c>
      <c r="H3021" t="str">
        <f t="shared" si="441"/>
        <v>스토리위즈</v>
      </c>
      <c r="I3021" t="str">
        <f t="shared" si="443"/>
        <v>리얼 머니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si="444"/>
        <v>9791166068942</v>
      </c>
      <c r="AV3021" t="str">
        <f t="shared" si="445"/>
        <v>판타지 웹소설 &gt; 현대 판타지</v>
      </c>
    </row>
    <row r="3022" spans="1:48" x14ac:dyDescent="0.4">
      <c r="A3022">
        <v>2313009749</v>
      </c>
      <c r="B3022">
        <v>2313009780</v>
      </c>
      <c r="C3022" t="str">
        <f>T("리얼 머니 32화")</f>
        <v>리얼 머니 32화</v>
      </c>
      <c r="D3022" t="str">
        <f>T("32")</f>
        <v>32</v>
      </c>
      <c r="E3022" t="str">
        <f t="shared" si="442"/>
        <v>진문</v>
      </c>
      <c r="H3022" t="str">
        <f t="shared" si="441"/>
        <v>스토리위즈</v>
      </c>
      <c r="I3022" t="str">
        <f t="shared" si="443"/>
        <v>리얼 머니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444"/>
        <v>9791166068942</v>
      </c>
      <c r="AV3022" t="str">
        <f t="shared" si="445"/>
        <v>판타지 웹소설 &gt; 현대 판타지</v>
      </c>
    </row>
    <row r="3023" spans="1:48" x14ac:dyDescent="0.4">
      <c r="A3023">
        <v>2313009749</v>
      </c>
      <c r="B3023">
        <v>2313009781</v>
      </c>
      <c r="C3023" t="str">
        <f>T("리얼 머니 33화")</f>
        <v>리얼 머니 33화</v>
      </c>
      <c r="D3023" t="str">
        <f>T("33")</f>
        <v>33</v>
      </c>
      <c r="E3023" t="str">
        <f t="shared" si="442"/>
        <v>진문</v>
      </c>
      <c r="H3023" t="str">
        <f t="shared" si="441"/>
        <v>스토리위즈</v>
      </c>
      <c r="I3023" t="str">
        <f t="shared" si="443"/>
        <v>리얼 머니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444"/>
        <v>9791166068942</v>
      </c>
      <c r="AV3023" t="str">
        <f t="shared" si="445"/>
        <v>판타지 웹소설 &gt; 현대 판타지</v>
      </c>
    </row>
    <row r="3024" spans="1:48" x14ac:dyDescent="0.4">
      <c r="A3024">
        <v>2313009749</v>
      </c>
      <c r="B3024">
        <v>2313009782</v>
      </c>
      <c r="C3024" t="str">
        <f>T("리얼 머니 34화")</f>
        <v>리얼 머니 34화</v>
      </c>
      <c r="D3024" t="str">
        <f>T("34")</f>
        <v>34</v>
      </c>
      <c r="E3024" t="str">
        <f t="shared" si="442"/>
        <v>진문</v>
      </c>
      <c r="H3024" t="str">
        <f t="shared" si="441"/>
        <v>스토리위즈</v>
      </c>
      <c r="I3024" t="str">
        <f t="shared" si="443"/>
        <v>리얼 머니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444"/>
        <v>9791166068942</v>
      </c>
      <c r="AV3024" t="str">
        <f t="shared" si="445"/>
        <v>판타지 웹소설 &gt; 현대 판타지</v>
      </c>
    </row>
    <row r="3025" spans="1:48" x14ac:dyDescent="0.4">
      <c r="A3025">
        <v>2313009749</v>
      </c>
      <c r="B3025">
        <v>2313009783</v>
      </c>
      <c r="C3025" t="str">
        <f>T("리얼 머니 35화")</f>
        <v>리얼 머니 35화</v>
      </c>
      <c r="D3025" t="str">
        <f>T("35")</f>
        <v>35</v>
      </c>
      <c r="E3025" t="str">
        <f t="shared" si="442"/>
        <v>진문</v>
      </c>
      <c r="H3025" t="str">
        <f t="shared" si="441"/>
        <v>스토리위즈</v>
      </c>
      <c r="I3025" t="str">
        <f t="shared" si="443"/>
        <v>리얼 머니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444"/>
        <v>9791166068942</v>
      </c>
      <c r="AV3025" t="str">
        <f t="shared" si="445"/>
        <v>판타지 웹소설 &gt; 현대 판타지</v>
      </c>
    </row>
    <row r="3026" spans="1:48" x14ac:dyDescent="0.4">
      <c r="A3026">
        <v>2313009749</v>
      </c>
      <c r="B3026">
        <v>2313009784</v>
      </c>
      <c r="C3026" t="str">
        <f>T("리얼 머니 36화")</f>
        <v>리얼 머니 36화</v>
      </c>
      <c r="D3026" t="str">
        <f>T("36")</f>
        <v>36</v>
      </c>
      <c r="E3026" t="str">
        <f t="shared" si="442"/>
        <v>진문</v>
      </c>
      <c r="H3026" t="str">
        <f t="shared" si="441"/>
        <v>스토리위즈</v>
      </c>
      <c r="I3026" t="str">
        <f t="shared" si="443"/>
        <v>리얼 머니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444"/>
        <v>9791166068942</v>
      </c>
      <c r="AV3026" t="str">
        <f t="shared" si="445"/>
        <v>판타지 웹소설 &gt; 현대 판타지</v>
      </c>
    </row>
    <row r="3027" spans="1:48" x14ac:dyDescent="0.4">
      <c r="A3027">
        <v>2313009749</v>
      </c>
      <c r="B3027">
        <v>2313009785</v>
      </c>
      <c r="C3027" t="str">
        <f>T("리얼 머니 37화")</f>
        <v>리얼 머니 37화</v>
      </c>
      <c r="D3027" t="str">
        <f>T("37")</f>
        <v>37</v>
      </c>
      <c r="E3027" t="str">
        <f t="shared" si="442"/>
        <v>진문</v>
      </c>
      <c r="H3027" t="str">
        <f t="shared" si="441"/>
        <v>스토리위즈</v>
      </c>
      <c r="I3027" t="str">
        <f t="shared" si="443"/>
        <v>리얼 머니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444"/>
        <v>9791166068942</v>
      </c>
      <c r="AV3027" t="str">
        <f t="shared" si="445"/>
        <v>판타지 웹소설 &gt; 현대 판타지</v>
      </c>
    </row>
    <row r="3028" spans="1:48" x14ac:dyDescent="0.4">
      <c r="A3028">
        <v>2313009749</v>
      </c>
      <c r="B3028">
        <v>2313009786</v>
      </c>
      <c r="C3028" t="str">
        <f>T("리얼 머니 38화")</f>
        <v>리얼 머니 38화</v>
      </c>
      <c r="D3028" t="str">
        <f>T("38")</f>
        <v>38</v>
      </c>
      <c r="E3028" t="str">
        <f t="shared" si="442"/>
        <v>진문</v>
      </c>
      <c r="H3028" t="str">
        <f t="shared" si="441"/>
        <v>스토리위즈</v>
      </c>
      <c r="I3028" t="str">
        <f t="shared" si="443"/>
        <v>리얼 머니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444"/>
        <v>9791166068942</v>
      </c>
      <c r="AV3028" t="str">
        <f t="shared" si="445"/>
        <v>판타지 웹소설 &gt; 현대 판타지</v>
      </c>
    </row>
    <row r="3029" spans="1:48" x14ac:dyDescent="0.4">
      <c r="A3029">
        <v>2313009749</v>
      </c>
      <c r="B3029">
        <v>2313009787</v>
      </c>
      <c r="C3029" t="str">
        <f>T("리얼 머니 39화")</f>
        <v>리얼 머니 39화</v>
      </c>
      <c r="D3029" t="str">
        <f>T("39")</f>
        <v>39</v>
      </c>
      <c r="E3029" t="str">
        <f t="shared" si="442"/>
        <v>진문</v>
      </c>
      <c r="H3029" t="str">
        <f t="shared" si="441"/>
        <v>스토리위즈</v>
      </c>
      <c r="I3029" t="str">
        <f t="shared" si="443"/>
        <v>리얼 머니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si="444"/>
        <v>9791166068942</v>
      </c>
      <c r="AV3029" t="str">
        <f t="shared" si="445"/>
        <v>판타지 웹소설 &gt; 현대 판타지</v>
      </c>
    </row>
    <row r="3030" spans="1:48" x14ac:dyDescent="0.4">
      <c r="A3030">
        <v>2313009749</v>
      </c>
      <c r="B3030">
        <v>2313009788</v>
      </c>
      <c r="C3030" t="str">
        <f>T("리얼 머니 40화")</f>
        <v>리얼 머니 40화</v>
      </c>
      <c r="D3030" t="str">
        <f>T("40")</f>
        <v>40</v>
      </c>
      <c r="E3030" t="str">
        <f t="shared" si="442"/>
        <v>진문</v>
      </c>
      <c r="H3030" t="str">
        <f t="shared" si="441"/>
        <v>스토리위즈</v>
      </c>
      <c r="I3030" t="str">
        <f t="shared" si="443"/>
        <v>리얼 머니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444"/>
        <v>9791166068942</v>
      </c>
      <c r="AV3030" t="str">
        <f t="shared" si="445"/>
        <v>판타지 웹소설 &gt; 현대 판타지</v>
      </c>
    </row>
    <row r="3031" spans="1:48" x14ac:dyDescent="0.4">
      <c r="A3031">
        <v>2313009749</v>
      </c>
      <c r="B3031">
        <v>2313009789</v>
      </c>
      <c r="C3031" t="str">
        <f>T("리얼 머니 41화")</f>
        <v>리얼 머니 41화</v>
      </c>
      <c r="D3031" t="str">
        <f>T("41")</f>
        <v>41</v>
      </c>
      <c r="E3031" t="str">
        <f t="shared" si="442"/>
        <v>진문</v>
      </c>
      <c r="H3031" t="str">
        <f t="shared" si="441"/>
        <v>스토리위즈</v>
      </c>
      <c r="I3031" t="str">
        <f t="shared" si="443"/>
        <v>리얼 머니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444"/>
        <v>9791166068942</v>
      </c>
      <c r="AV3031" t="str">
        <f t="shared" si="445"/>
        <v>판타지 웹소설 &gt; 현대 판타지</v>
      </c>
    </row>
    <row r="3032" spans="1:48" x14ac:dyDescent="0.4">
      <c r="A3032">
        <v>2313009749</v>
      </c>
      <c r="B3032">
        <v>2313009790</v>
      </c>
      <c r="C3032" t="str">
        <f>T("리얼 머니 42화")</f>
        <v>리얼 머니 42화</v>
      </c>
      <c r="D3032" t="str">
        <f>T("42")</f>
        <v>42</v>
      </c>
      <c r="E3032" t="str">
        <f t="shared" si="442"/>
        <v>진문</v>
      </c>
      <c r="H3032" t="str">
        <f t="shared" si="441"/>
        <v>스토리위즈</v>
      </c>
      <c r="I3032" t="str">
        <f t="shared" si="443"/>
        <v>리얼 머니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444"/>
        <v>9791166068942</v>
      </c>
      <c r="AV3032" t="str">
        <f t="shared" si="445"/>
        <v>판타지 웹소설 &gt; 현대 판타지</v>
      </c>
    </row>
    <row r="3033" spans="1:48" x14ac:dyDescent="0.4">
      <c r="A3033">
        <v>2313009749</v>
      </c>
      <c r="B3033">
        <v>2313009791</v>
      </c>
      <c r="C3033" t="str">
        <f>T("리얼 머니 43화")</f>
        <v>리얼 머니 43화</v>
      </c>
      <c r="D3033" t="str">
        <f>T("43")</f>
        <v>43</v>
      </c>
      <c r="E3033" t="str">
        <f t="shared" si="442"/>
        <v>진문</v>
      </c>
      <c r="H3033" t="str">
        <f t="shared" si="441"/>
        <v>스토리위즈</v>
      </c>
      <c r="I3033" t="str">
        <f t="shared" si="443"/>
        <v>리얼 머니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444"/>
        <v>9791166068942</v>
      </c>
      <c r="AV3033" t="str">
        <f t="shared" si="445"/>
        <v>판타지 웹소설 &gt; 현대 판타지</v>
      </c>
    </row>
    <row r="3034" spans="1:48" x14ac:dyDescent="0.4">
      <c r="A3034">
        <v>2313009749</v>
      </c>
      <c r="B3034">
        <v>2313009792</v>
      </c>
      <c r="C3034" t="str">
        <f>T("리얼 머니 44화")</f>
        <v>리얼 머니 44화</v>
      </c>
      <c r="D3034" t="str">
        <f>T("44")</f>
        <v>44</v>
      </c>
      <c r="E3034" t="str">
        <f t="shared" si="442"/>
        <v>진문</v>
      </c>
      <c r="H3034" t="str">
        <f t="shared" si="441"/>
        <v>스토리위즈</v>
      </c>
      <c r="I3034" t="str">
        <f t="shared" si="443"/>
        <v>리얼 머니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444"/>
        <v>9791166068942</v>
      </c>
      <c r="AV3034" t="str">
        <f t="shared" si="445"/>
        <v>판타지 웹소설 &gt; 현대 판타지</v>
      </c>
    </row>
    <row r="3035" spans="1:48" x14ac:dyDescent="0.4">
      <c r="A3035">
        <v>2313009749</v>
      </c>
      <c r="B3035">
        <v>2313009793</v>
      </c>
      <c r="C3035" t="str">
        <f>T("리얼 머니 45화")</f>
        <v>리얼 머니 45화</v>
      </c>
      <c r="D3035" t="str">
        <f>T("45")</f>
        <v>45</v>
      </c>
      <c r="E3035" t="str">
        <f t="shared" si="442"/>
        <v>진문</v>
      </c>
      <c r="H3035" t="str">
        <f t="shared" si="441"/>
        <v>스토리위즈</v>
      </c>
      <c r="I3035" t="str">
        <f t="shared" si="443"/>
        <v>리얼 머니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444"/>
        <v>9791166068942</v>
      </c>
      <c r="AV3035" t="str">
        <f t="shared" si="445"/>
        <v>판타지 웹소설 &gt; 현대 판타지</v>
      </c>
    </row>
    <row r="3036" spans="1:48" x14ac:dyDescent="0.4">
      <c r="A3036">
        <v>2313009749</v>
      </c>
      <c r="B3036">
        <v>2313009794</v>
      </c>
      <c r="C3036" t="str">
        <f>T("리얼 머니 46화")</f>
        <v>리얼 머니 46화</v>
      </c>
      <c r="D3036" t="str">
        <f>T("46")</f>
        <v>46</v>
      </c>
      <c r="E3036" t="str">
        <f t="shared" si="442"/>
        <v>진문</v>
      </c>
      <c r="H3036" t="str">
        <f t="shared" si="441"/>
        <v>스토리위즈</v>
      </c>
      <c r="I3036" t="str">
        <f t="shared" si="443"/>
        <v>리얼 머니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444"/>
        <v>9791166068942</v>
      </c>
      <c r="AV3036" t="str">
        <f t="shared" si="445"/>
        <v>판타지 웹소설 &gt; 현대 판타지</v>
      </c>
    </row>
    <row r="3037" spans="1:48" x14ac:dyDescent="0.4">
      <c r="A3037">
        <v>2313009749</v>
      </c>
      <c r="B3037">
        <v>2313009795</v>
      </c>
      <c r="C3037" t="str">
        <f>T("리얼 머니 47화")</f>
        <v>리얼 머니 47화</v>
      </c>
      <c r="D3037" t="str">
        <f>T("47")</f>
        <v>47</v>
      </c>
      <c r="E3037" t="str">
        <f t="shared" si="442"/>
        <v>진문</v>
      </c>
      <c r="H3037" t="str">
        <f t="shared" si="441"/>
        <v>스토리위즈</v>
      </c>
      <c r="I3037" t="str">
        <f t="shared" si="443"/>
        <v>리얼 머니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444"/>
        <v>9791166068942</v>
      </c>
      <c r="AV3037" t="str">
        <f t="shared" si="445"/>
        <v>판타지 웹소설 &gt; 현대 판타지</v>
      </c>
    </row>
    <row r="3038" spans="1:48" x14ac:dyDescent="0.4">
      <c r="A3038">
        <v>2313009749</v>
      </c>
      <c r="B3038">
        <v>2313009796</v>
      </c>
      <c r="C3038" t="str">
        <f>T("리얼 머니 48화")</f>
        <v>리얼 머니 48화</v>
      </c>
      <c r="D3038" t="str">
        <f>T("48")</f>
        <v>48</v>
      </c>
      <c r="E3038" t="str">
        <f t="shared" si="442"/>
        <v>진문</v>
      </c>
      <c r="H3038" t="str">
        <f t="shared" si="441"/>
        <v>스토리위즈</v>
      </c>
      <c r="I3038" t="str">
        <f t="shared" si="443"/>
        <v>리얼 머니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444"/>
        <v>9791166068942</v>
      </c>
      <c r="AV3038" t="str">
        <f t="shared" si="445"/>
        <v>판타지 웹소설 &gt; 현대 판타지</v>
      </c>
    </row>
    <row r="3039" spans="1:48" x14ac:dyDescent="0.4">
      <c r="A3039">
        <v>2313009749</v>
      </c>
      <c r="B3039">
        <v>2313009797</v>
      </c>
      <c r="C3039" t="str">
        <f>T("리얼 머니 49화")</f>
        <v>리얼 머니 49화</v>
      </c>
      <c r="D3039" t="str">
        <f>T("49")</f>
        <v>49</v>
      </c>
      <c r="E3039" t="str">
        <f t="shared" si="442"/>
        <v>진문</v>
      </c>
      <c r="H3039" t="str">
        <f t="shared" si="441"/>
        <v>스토리위즈</v>
      </c>
      <c r="I3039" t="str">
        <f t="shared" si="443"/>
        <v>리얼 머니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444"/>
        <v>9791166068942</v>
      </c>
      <c r="AV3039" t="str">
        <f t="shared" si="445"/>
        <v>판타지 웹소설 &gt; 현대 판타지</v>
      </c>
    </row>
    <row r="3040" spans="1:48" x14ac:dyDescent="0.4">
      <c r="A3040">
        <v>2313009749</v>
      </c>
      <c r="B3040">
        <v>2313009798</v>
      </c>
      <c r="C3040" t="str">
        <f>T("리얼 머니 50화")</f>
        <v>리얼 머니 50화</v>
      </c>
      <c r="D3040" t="str">
        <f>T("50")</f>
        <v>50</v>
      </c>
      <c r="E3040" t="str">
        <f t="shared" si="442"/>
        <v>진문</v>
      </c>
      <c r="H3040" t="str">
        <f t="shared" si="441"/>
        <v>스토리위즈</v>
      </c>
      <c r="I3040" t="str">
        <f t="shared" si="443"/>
        <v>리얼 머니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444"/>
        <v>9791166068942</v>
      </c>
      <c r="AV3040" t="str">
        <f t="shared" si="445"/>
        <v>판타지 웹소설 &gt; 현대 판타지</v>
      </c>
    </row>
    <row r="3041" spans="1:48" x14ac:dyDescent="0.4">
      <c r="A3041">
        <v>2313009749</v>
      </c>
      <c r="B3041">
        <v>2313009799</v>
      </c>
      <c r="C3041" t="str">
        <f>T("리얼 머니 51화")</f>
        <v>리얼 머니 51화</v>
      </c>
      <c r="D3041" t="str">
        <f>T("51")</f>
        <v>51</v>
      </c>
      <c r="E3041" t="str">
        <f t="shared" si="442"/>
        <v>진문</v>
      </c>
      <c r="H3041" t="str">
        <f t="shared" si="441"/>
        <v>스토리위즈</v>
      </c>
      <c r="I3041" t="str">
        <f t="shared" si="443"/>
        <v>리얼 머니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444"/>
        <v>9791166068942</v>
      </c>
      <c r="AV3041" t="str">
        <f t="shared" si="445"/>
        <v>판타지 웹소설 &gt; 현대 판타지</v>
      </c>
    </row>
    <row r="3042" spans="1:48" x14ac:dyDescent="0.4">
      <c r="A3042">
        <v>2313009749</v>
      </c>
      <c r="B3042">
        <v>2313009800</v>
      </c>
      <c r="C3042" t="str">
        <f>T("리얼 머니 52화")</f>
        <v>리얼 머니 52화</v>
      </c>
      <c r="D3042" t="str">
        <f>T("52")</f>
        <v>52</v>
      </c>
      <c r="E3042" t="str">
        <f t="shared" si="442"/>
        <v>진문</v>
      </c>
      <c r="H3042" t="str">
        <f t="shared" si="441"/>
        <v>스토리위즈</v>
      </c>
      <c r="I3042" t="str">
        <f t="shared" si="443"/>
        <v>리얼 머니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444"/>
        <v>9791166068942</v>
      </c>
      <c r="AV3042" t="str">
        <f t="shared" si="445"/>
        <v>판타지 웹소설 &gt; 현대 판타지</v>
      </c>
    </row>
    <row r="3043" spans="1:48" x14ac:dyDescent="0.4">
      <c r="A3043">
        <v>2313009749</v>
      </c>
      <c r="B3043">
        <v>2313009801</v>
      </c>
      <c r="C3043" t="str">
        <f>T("리얼 머니 53화")</f>
        <v>리얼 머니 53화</v>
      </c>
      <c r="D3043" t="str">
        <f>T("53")</f>
        <v>53</v>
      </c>
      <c r="E3043" t="str">
        <f t="shared" si="442"/>
        <v>진문</v>
      </c>
      <c r="H3043" t="str">
        <f t="shared" si="441"/>
        <v>스토리위즈</v>
      </c>
      <c r="I3043" t="str">
        <f t="shared" si="443"/>
        <v>리얼 머니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444"/>
        <v>9791166068942</v>
      </c>
      <c r="AV3043" t="str">
        <f t="shared" si="445"/>
        <v>판타지 웹소설 &gt; 현대 판타지</v>
      </c>
    </row>
    <row r="3044" spans="1:48" x14ac:dyDescent="0.4">
      <c r="A3044">
        <v>2313009749</v>
      </c>
      <c r="B3044">
        <v>2313009802</v>
      </c>
      <c r="C3044" t="str">
        <f>T("리얼 머니 54화")</f>
        <v>리얼 머니 54화</v>
      </c>
      <c r="D3044" t="str">
        <f>T("54")</f>
        <v>54</v>
      </c>
      <c r="E3044" t="str">
        <f t="shared" si="442"/>
        <v>진문</v>
      </c>
      <c r="H3044" t="str">
        <f t="shared" si="441"/>
        <v>스토리위즈</v>
      </c>
      <c r="I3044" t="str">
        <f t="shared" si="443"/>
        <v>리얼 머니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444"/>
        <v>9791166068942</v>
      </c>
      <c r="AV3044" t="str">
        <f t="shared" si="445"/>
        <v>판타지 웹소설 &gt; 현대 판타지</v>
      </c>
    </row>
    <row r="3045" spans="1:48" x14ac:dyDescent="0.4">
      <c r="A3045">
        <v>2313009749</v>
      </c>
      <c r="B3045">
        <v>2313009803</v>
      </c>
      <c r="C3045" t="str">
        <f>T("리얼 머니 55화")</f>
        <v>리얼 머니 55화</v>
      </c>
      <c r="D3045" t="str">
        <f>T("55")</f>
        <v>55</v>
      </c>
      <c r="E3045" t="str">
        <f t="shared" si="442"/>
        <v>진문</v>
      </c>
      <c r="H3045" t="str">
        <f t="shared" si="441"/>
        <v>스토리위즈</v>
      </c>
      <c r="I3045" t="str">
        <f t="shared" si="443"/>
        <v>리얼 머니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444"/>
        <v>9791166068942</v>
      </c>
      <c r="AV3045" t="str">
        <f t="shared" si="445"/>
        <v>판타지 웹소설 &gt; 현대 판타지</v>
      </c>
    </row>
    <row r="3046" spans="1:48" x14ac:dyDescent="0.4">
      <c r="A3046">
        <v>2313009749</v>
      </c>
      <c r="B3046">
        <v>2313009804</v>
      </c>
      <c r="C3046" t="str">
        <f>T("리얼 머니 56화")</f>
        <v>리얼 머니 56화</v>
      </c>
      <c r="D3046" t="str">
        <f>T("56")</f>
        <v>56</v>
      </c>
      <c r="E3046" t="str">
        <f t="shared" si="442"/>
        <v>진문</v>
      </c>
      <c r="H3046" t="str">
        <f t="shared" si="441"/>
        <v>스토리위즈</v>
      </c>
      <c r="I3046" t="str">
        <f t="shared" si="443"/>
        <v>리얼 머니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444"/>
        <v>9791166068942</v>
      </c>
      <c r="AV3046" t="str">
        <f t="shared" si="445"/>
        <v>판타지 웹소설 &gt; 현대 판타지</v>
      </c>
    </row>
    <row r="3047" spans="1:48" x14ac:dyDescent="0.4">
      <c r="A3047">
        <v>2313009749</v>
      </c>
      <c r="B3047">
        <v>2313009805</v>
      </c>
      <c r="C3047" t="str">
        <f>T("리얼 머니 57화")</f>
        <v>리얼 머니 57화</v>
      </c>
      <c r="D3047" t="str">
        <f>T("57")</f>
        <v>57</v>
      </c>
      <c r="E3047" t="str">
        <f t="shared" si="442"/>
        <v>진문</v>
      </c>
      <c r="H3047" t="str">
        <f t="shared" si="441"/>
        <v>스토리위즈</v>
      </c>
      <c r="I3047" t="str">
        <f t="shared" si="443"/>
        <v>리얼 머니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444"/>
        <v>9791166068942</v>
      </c>
      <c r="AV3047" t="str">
        <f t="shared" si="445"/>
        <v>판타지 웹소설 &gt; 현대 판타지</v>
      </c>
    </row>
    <row r="3048" spans="1:48" x14ac:dyDescent="0.4">
      <c r="A3048">
        <v>2313009749</v>
      </c>
      <c r="B3048">
        <v>2313009806</v>
      </c>
      <c r="C3048" t="str">
        <f>T("리얼 머니 58화")</f>
        <v>리얼 머니 58화</v>
      </c>
      <c r="D3048" t="str">
        <f>T("58")</f>
        <v>58</v>
      </c>
      <c r="E3048" t="str">
        <f t="shared" si="442"/>
        <v>진문</v>
      </c>
      <c r="H3048" t="str">
        <f t="shared" si="441"/>
        <v>스토리위즈</v>
      </c>
      <c r="I3048" t="str">
        <f t="shared" si="443"/>
        <v>리얼 머니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444"/>
        <v>9791166068942</v>
      </c>
      <c r="AV3048" t="str">
        <f t="shared" si="445"/>
        <v>판타지 웹소설 &gt; 현대 판타지</v>
      </c>
    </row>
    <row r="3049" spans="1:48" x14ac:dyDescent="0.4">
      <c r="A3049">
        <v>2313009749</v>
      </c>
      <c r="B3049">
        <v>2313009970</v>
      </c>
      <c r="C3049" t="str">
        <f>T("리얼 머니 222화 (완결)")</f>
        <v>리얼 머니 222화 (완결)</v>
      </c>
      <c r="D3049" t="str">
        <f>T("222")</f>
        <v>222</v>
      </c>
      <c r="E3049" t="str">
        <f t="shared" si="442"/>
        <v>진문</v>
      </c>
      <c r="H3049" t="str">
        <f t="shared" si="441"/>
        <v>스토리위즈</v>
      </c>
      <c r="I3049" t="str">
        <f t="shared" si="443"/>
        <v>리얼 머니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444"/>
        <v>9791166068942</v>
      </c>
      <c r="AV3049" t="str">
        <f t="shared" si="445"/>
        <v>판타지 웹소설 &gt; 현대 판타지</v>
      </c>
    </row>
    <row r="3050" spans="1:48" x14ac:dyDescent="0.4">
      <c r="A3050">
        <v>2313010290</v>
      </c>
      <c r="B3050">
        <v>2313010305</v>
      </c>
      <c r="C3050" t="str">
        <f>T("아저씨, 내 기분 왜 이래요? 16화")</f>
        <v>아저씨, 내 기분 왜 이래요? 16화</v>
      </c>
      <c r="D3050" t="str">
        <f>T("16")</f>
        <v>16</v>
      </c>
      <c r="E3050" t="str">
        <f t="shared" ref="E3050:E3069" si="446">T("Livingston")</f>
        <v>Livingston</v>
      </c>
      <c r="H3050" t="str">
        <f t="shared" si="441"/>
        <v>스토리위즈</v>
      </c>
      <c r="I3050" t="str">
        <f t="shared" ref="I3050:I3069" si="447">T("아저씨, 내 기분 왜 이래요?")</f>
        <v>아저씨, 내 기분 왜 이래요?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ref="AT3050:AT3069" si="448">T("9791166069482")</f>
        <v>9791166069482</v>
      </c>
      <c r="AV3050" t="str">
        <f t="shared" ref="AV3050:AV3069" si="449">T("로맨스 웹소설 &gt; 현대물")</f>
        <v>로맨스 웹소설 &gt; 현대물</v>
      </c>
    </row>
    <row r="3051" spans="1:48" x14ac:dyDescent="0.4">
      <c r="A3051">
        <v>2313010290</v>
      </c>
      <c r="B3051">
        <v>2313010339</v>
      </c>
      <c r="C3051" t="str">
        <f>T("아저씨, 내 기분 왜 이래요? 50화")</f>
        <v>아저씨, 내 기분 왜 이래요? 50화</v>
      </c>
      <c r="D3051" t="str">
        <f>T("50")</f>
        <v>50</v>
      </c>
      <c r="E3051" t="str">
        <f t="shared" si="446"/>
        <v>Livingston</v>
      </c>
      <c r="H3051" t="str">
        <f t="shared" si="441"/>
        <v>스토리위즈</v>
      </c>
      <c r="I3051" t="str">
        <f t="shared" si="447"/>
        <v>아저씨, 내 기분 왜 이래요?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448"/>
        <v>9791166069482</v>
      </c>
      <c r="AV3051" t="str">
        <f t="shared" si="449"/>
        <v>로맨스 웹소설 &gt; 현대물</v>
      </c>
    </row>
    <row r="3052" spans="1:48" x14ac:dyDescent="0.4">
      <c r="A3052">
        <v>2313010290</v>
      </c>
      <c r="B3052">
        <v>2313010340</v>
      </c>
      <c r="C3052" t="str">
        <f>T("아저씨, 내 기분 왜 이래요? 51화")</f>
        <v>아저씨, 내 기분 왜 이래요? 51화</v>
      </c>
      <c r="D3052" t="str">
        <f>T("51")</f>
        <v>51</v>
      </c>
      <c r="E3052" t="str">
        <f t="shared" si="446"/>
        <v>Livingston</v>
      </c>
      <c r="H3052" t="str">
        <f t="shared" si="441"/>
        <v>스토리위즈</v>
      </c>
      <c r="I3052" t="str">
        <f t="shared" si="447"/>
        <v>아저씨, 내 기분 왜 이래요?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448"/>
        <v>9791166069482</v>
      </c>
      <c r="AV3052" t="str">
        <f t="shared" si="449"/>
        <v>로맨스 웹소설 &gt; 현대물</v>
      </c>
    </row>
    <row r="3053" spans="1:48" x14ac:dyDescent="0.4">
      <c r="A3053">
        <v>2313010290</v>
      </c>
      <c r="B3053">
        <v>2313010341</v>
      </c>
      <c r="C3053" t="str">
        <f>T("아저씨, 내 기분 왜 이래요? 52화")</f>
        <v>아저씨, 내 기분 왜 이래요? 52화</v>
      </c>
      <c r="D3053" t="str">
        <f>T("52")</f>
        <v>52</v>
      </c>
      <c r="E3053" t="str">
        <f t="shared" si="446"/>
        <v>Livingston</v>
      </c>
      <c r="H3053" t="str">
        <f t="shared" si="441"/>
        <v>스토리위즈</v>
      </c>
      <c r="I3053" t="str">
        <f t="shared" si="447"/>
        <v>아저씨, 내 기분 왜 이래요?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448"/>
        <v>9791166069482</v>
      </c>
      <c r="AV3053" t="str">
        <f t="shared" si="449"/>
        <v>로맨스 웹소설 &gt; 현대물</v>
      </c>
    </row>
    <row r="3054" spans="1:48" x14ac:dyDescent="0.4">
      <c r="A3054">
        <v>2313010290</v>
      </c>
      <c r="B3054">
        <v>2313010342</v>
      </c>
      <c r="C3054" t="str">
        <f>T("아저씨, 내 기분 왜 이래요? 53화")</f>
        <v>아저씨, 내 기분 왜 이래요? 53화</v>
      </c>
      <c r="D3054" t="str">
        <f>T("53")</f>
        <v>53</v>
      </c>
      <c r="E3054" t="str">
        <f t="shared" si="446"/>
        <v>Livingston</v>
      </c>
      <c r="H3054" t="str">
        <f t="shared" si="441"/>
        <v>스토리위즈</v>
      </c>
      <c r="I3054" t="str">
        <f t="shared" si="447"/>
        <v>아저씨, 내 기분 왜 이래요?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448"/>
        <v>9791166069482</v>
      </c>
      <c r="AV3054" t="str">
        <f t="shared" si="449"/>
        <v>로맨스 웹소설 &gt; 현대물</v>
      </c>
    </row>
    <row r="3055" spans="1:48" x14ac:dyDescent="0.4">
      <c r="A3055">
        <v>2313010290</v>
      </c>
      <c r="B3055">
        <v>2313010343</v>
      </c>
      <c r="C3055" t="str">
        <f>T("아저씨, 내 기분 왜 이래요? 54화")</f>
        <v>아저씨, 내 기분 왜 이래요? 54화</v>
      </c>
      <c r="D3055" t="str">
        <f>T("54")</f>
        <v>54</v>
      </c>
      <c r="E3055" t="str">
        <f t="shared" si="446"/>
        <v>Livingston</v>
      </c>
      <c r="H3055" t="str">
        <f t="shared" si="441"/>
        <v>스토리위즈</v>
      </c>
      <c r="I3055" t="str">
        <f t="shared" si="447"/>
        <v>아저씨, 내 기분 왜 이래요?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448"/>
        <v>9791166069482</v>
      </c>
      <c r="AV3055" t="str">
        <f t="shared" si="449"/>
        <v>로맨스 웹소설 &gt; 현대물</v>
      </c>
    </row>
    <row r="3056" spans="1:48" x14ac:dyDescent="0.4">
      <c r="A3056">
        <v>2313010290</v>
      </c>
      <c r="B3056">
        <v>2313010344</v>
      </c>
      <c r="C3056" t="str">
        <f>T("아저씨, 내 기분 왜 이래요? 55화")</f>
        <v>아저씨, 내 기분 왜 이래요? 55화</v>
      </c>
      <c r="D3056" t="str">
        <f>T("55")</f>
        <v>55</v>
      </c>
      <c r="E3056" t="str">
        <f t="shared" si="446"/>
        <v>Livingston</v>
      </c>
      <c r="H3056" t="str">
        <f t="shared" si="441"/>
        <v>스토리위즈</v>
      </c>
      <c r="I3056" t="str">
        <f t="shared" si="447"/>
        <v>아저씨, 내 기분 왜 이래요?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448"/>
        <v>9791166069482</v>
      </c>
      <c r="AV3056" t="str">
        <f t="shared" si="449"/>
        <v>로맨스 웹소설 &gt; 현대물</v>
      </c>
    </row>
    <row r="3057" spans="1:48" x14ac:dyDescent="0.4">
      <c r="A3057">
        <v>2313010290</v>
      </c>
      <c r="B3057">
        <v>2313010345</v>
      </c>
      <c r="C3057" t="str">
        <f>T("아저씨, 내 기분 왜 이래요? 56화")</f>
        <v>아저씨, 내 기분 왜 이래요? 56화</v>
      </c>
      <c r="D3057" t="str">
        <f>T("56")</f>
        <v>56</v>
      </c>
      <c r="E3057" t="str">
        <f t="shared" si="446"/>
        <v>Livingston</v>
      </c>
      <c r="H3057" t="str">
        <f t="shared" si="441"/>
        <v>스토리위즈</v>
      </c>
      <c r="I3057" t="str">
        <f t="shared" si="447"/>
        <v>아저씨, 내 기분 왜 이래요?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448"/>
        <v>9791166069482</v>
      </c>
      <c r="AV3057" t="str">
        <f t="shared" si="449"/>
        <v>로맨스 웹소설 &gt; 현대물</v>
      </c>
    </row>
    <row r="3058" spans="1:48" x14ac:dyDescent="0.4">
      <c r="A3058">
        <v>2313010290</v>
      </c>
      <c r="B3058">
        <v>2313010346</v>
      </c>
      <c r="C3058" t="str">
        <f>T("아저씨, 내 기분 왜 이래요? 57화")</f>
        <v>아저씨, 내 기분 왜 이래요? 57화</v>
      </c>
      <c r="D3058" t="str">
        <f>T("57")</f>
        <v>57</v>
      </c>
      <c r="E3058" t="str">
        <f t="shared" si="446"/>
        <v>Livingston</v>
      </c>
      <c r="H3058" t="str">
        <f t="shared" si="441"/>
        <v>스토리위즈</v>
      </c>
      <c r="I3058" t="str">
        <f t="shared" si="447"/>
        <v>아저씨, 내 기분 왜 이래요?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448"/>
        <v>9791166069482</v>
      </c>
      <c r="AV3058" t="str">
        <f t="shared" si="449"/>
        <v>로맨스 웹소설 &gt; 현대물</v>
      </c>
    </row>
    <row r="3059" spans="1:48" x14ac:dyDescent="0.4">
      <c r="A3059">
        <v>2313010290</v>
      </c>
      <c r="B3059">
        <v>2313010347</v>
      </c>
      <c r="C3059" t="str">
        <f>T("아저씨, 내 기분 왜 이래요? 58화")</f>
        <v>아저씨, 내 기분 왜 이래요? 58화</v>
      </c>
      <c r="D3059" t="str">
        <f>T("58")</f>
        <v>58</v>
      </c>
      <c r="E3059" t="str">
        <f t="shared" si="446"/>
        <v>Livingston</v>
      </c>
      <c r="H3059" t="str">
        <f t="shared" si="441"/>
        <v>스토리위즈</v>
      </c>
      <c r="I3059" t="str">
        <f t="shared" si="447"/>
        <v>아저씨, 내 기분 왜 이래요?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448"/>
        <v>9791166069482</v>
      </c>
      <c r="AV3059" t="str">
        <f t="shared" si="449"/>
        <v>로맨스 웹소설 &gt; 현대물</v>
      </c>
    </row>
    <row r="3060" spans="1:48" x14ac:dyDescent="0.4">
      <c r="A3060">
        <v>2313010290</v>
      </c>
      <c r="B3060">
        <v>2313010348</v>
      </c>
      <c r="C3060" t="str">
        <f>T("아저씨, 내 기분 왜 이래요? 59화")</f>
        <v>아저씨, 내 기분 왜 이래요? 59화</v>
      </c>
      <c r="D3060" t="str">
        <f>T("59")</f>
        <v>59</v>
      </c>
      <c r="E3060" t="str">
        <f t="shared" si="446"/>
        <v>Livingston</v>
      </c>
      <c r="H3060" t="str">
        <f t="shared" si="441"/>
        <v>스토리위즈</v>
      </c>
      <c r="I3060" t="str">
        <f t="shared" si="447"/>
        <v>아저씨, 내 기분 왜 이래요?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448"/>
        <v>9791166069482</v>
      </c>
      <c r="AV3060" t="str">
        <f t="shared" si="449"/>
        <v>로맨스 웹소설 &gt; 현대물</v>
      </c>
    </row>
    <row r="3061" spans="1:48" x14ac:dyDescent="0.4">
      <c r="A3061">
        <v>2313010290</v>
      </c>
      <c r="B3061">
        <v>2313010349</v>
      </c>
      <c r="C3061" t="str">
        <f>T("아저씨, 내 기분 왜 이래요? 60화")</f>
        <v>아저씨, 내 기분 왜 이래요? 60화</v>
      </c>
      <c r="D3061" t="str">
        <f>T("60")</f>
        <v>60</v>
      </c>
      <c r="E3061" t="str">
        <f t="shared" si="446"/>
        <v>Livingston</v>
      </c>
      <c r="H3061" t="str">
        <f t="shared" si="441"/>
        <v>스토리위즈</v>
      </c>
      <c r="I3061" t="str">
        <f t="shared" si="447"/>
        <v>아저씨, 내 기분 왜 이래요?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448"/>
        <v>9791166069482</v>
      </c>
      <c r="AV3061" t="str">
        <f t="shared" si="449"/>
        <v>로맨스 웹소설 &gt; 현대물</v>
      </c>
    </row>
    <row r="3062" spans="1:48" x14ac:dyDescent="0.4">
      <c r="A3062">
        <v>2313010290</v>
      </c>
      <c r="B3062">
        <v>2313010350</v>
      </c>
      <c r="C3062" t="str">
        <f>T("아저씨, 내 기분 왜 이래요? 61화")</f>
        <v>아저씨, 내 기분 왜 이래요? 61화</v>
      </c>
      <c r="D3062" t="str">
        <f>T("61")</f>
        <v>61</v>
      </c>
      <c r="E3062" t="str">
        <f t="shared" si="446"/>
        <v>Livingston</v>
      </c>
      <c r="H3062" t="str">
        <f t="shared" si="441"/>
        <v>스토리위즈</v>
      </c>
      <c r="I3062" t="str">
        <f t="shared" si="447"/>
        <v>아저씨, 내 기분 왜 이래요?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448"/>
        <v>9791166069482</v>
      </c>
      <c r="AV3062" t="str">
        <f t="shared" si="449"/>
        <v>로맨스 웹소설 &gt; 현대물</v>
      </c>
    </row>
    <row r="3063" spans="1:48" x14ac:dyDescent="0.4">
      <c r="A3063">
        <v>2313010290</v>
      </c>
      <c r="B3063">
        <v>2313010351</v>
      </c>
      <c r="C3063" t="str">
        <f>T("아저씨, 내 기분 왜 이래요? 62화")</f>
        <v>아저씨, 내 기분 왜 이래요? 62화</v>
      </c>
      <c r="D3063" t="str">
        <f>T("62")</f>
        <v>62</v>
      </c>
      <c r="E3063" t="str">
        <f t="shared" si="446"/>
        <v>Livingston</v>
      </c>
      <c r="H3063" t="str">
        <f t="shared" si="441"/>
        <v>스토리위즈</v>
      </c>
      <c r="I3063" t="str">
        <f t="shared" si="447"/>
        <v>아저씨, 내 기분 왜 이래요?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448"/>
        <v>9791166069482</v>
      </c>
      <c r="AV3063" t="str">
        <f t="shared" si="449"/>
        <v>로맨스 웹소설 &gt; 현대물</v>
      </c>
    </row>
    <row r="3064" spans="1:48" x14ac:dyDescent="0.4">
      <c r="A3064">
        <v>2313010290</v>
      </c>
      <c r="B3064">
        <v>2313010352</v>
      </c>
      <c r="C3064" t="str">
        <f>T("아저씨, 내 기분 왜 이래요? 63화")</f>
        <v>아저씨, 내 기분 왜 이래요? 63화</v>
      </c>
      <c r="D3064" t="str">
        <f>T("63")</f>
        <v>63</v>
      </c>
      <c r="E3064" t="str">
        <f t="shared" si="446"/>
        <v>Livingston</v>
      </c>
      <c r="H3064" t="str">
        <f t="shared" si="441"/>
        <v>스토리위즈</v>
      </c>
      <c r="I3064" t="str">
        <f t="shared" si="447"/>
        <v>아저씨, 내 기분 왜 이래요?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448"/>
        <v>9791166069482</v>
      </c>
      <c r="AV3064" t="str">
        <f t="shared" si="449"/>
        <v>로맨스 웹소설 &gt; 현대물</v>
      </c>
    </row>
    <row r="3065" spans="1:48" x14ac:dyDescent="0.4">
      <c r="A3065">
        <v>2313010290</v>
      </c>
      <c r="B3065">
        <v>2313010353</v>
      </c>
      <c r="C3065" t="str">
        <f>T("아저씨, 내 기분 왜 이래요? 64화")</f>
        <v>아저씨, 내 기분 왜 이래요? 64화</v>
      </c>
      <c r="D3065" t="str">
        <f>T("64")</f>
        <v>64</v>
      </c>
      <c r="E3065" t="str">
        <f t="shared" si="446"/>
        <v>Livingston</v>
      </c>
      <c r="H3065" t="str">
        <f t="shared" ref="H3065:H3128" si="450">T("스토리위즈")</f>
        <v>스토리위즈</v>
      </c>
      <c r="I3065" t="str">
        <f t="shared" si="447"/>
        <v>아저씨, 내 기분 왜 이래요?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448"/>
        <v>9791166069482</v>
      </c>
      <c r="AV3065" t="str">
        <f t="shared" si="449"/>
        <v>로맨스 웹소설 &gt; 현대물</v>
      </c>
    </row>
    <row r="3066" spans="1:48" x14ac:dyDescent="0.4">
      <c r="A3066">
        <v>2313010290</v>
      </c>
      <c r="B3066">
        <v>2313010354</v>
      </c>
      <c r="C3066" t="str">
        <f>T("아저씨, 내 기분 왜 이래요? 65화")</f>
        <v>아저씨, 내 기분 왜 이래요? 65화</v>
      </c>
      <c r="D3066" t="str">
        <f>T("65")</f>
        <v>65</v>
      </c>
      <c r="E3066" t="str">
        <f t="shared" si="446"/>
        <v>Livingston</v>
      </c>
      <c r="H3066" t="str">
        <f t="shared" si="450"/>
        <v>스토리위즈</v>
      </c>
      <c r="I3066" t="str">
        <f t="shared" si="447"/>
        <v>아저씨, 내 기분 왜 이래요?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448"/>
        <v>9791166069482</v>
      </c>
      <c r="AV3066" t="str">
        <f t="shared" si="449"/>
        <v>로맨스 웹소설 &gt; 현대물</v>
      </c>
    </row>
    <row r="3067" spans="1:48" x14ac:dyDescent="0.4">
      <c r="A3067">
        <v>2313010290</v>
      </c>
      <c r="B3067">
        <v>2313010355</v>
      </c>
      <c r="C3067" t="str">
        <f>T("아저씨, 내 기분 왜 이래요? 66화")</f>
        <v>아저씨, 내 기분 왜 이래요? 66화</v>
      </c>
      <c r="D3067" t="str">
        <f>T("66")</f>
        <v>66</v>
      </c>
      <c r="E3067" t="str">
        <f t="shared" si="446"/>
        <v>Livingston</v>
      </c>
      <c r="H3067" t="str">
        <f t="shared" si="450"/>
        <v>스토리위즈</v>
      </c>
      <c r="I3067" t="str">
        <f t="shared" si="447"/>
        <v>아저씨, 내 기분 왜 이래요?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448"/>
        <v>9791166069482</v>
      </c>
      <c r="AV3067" t="str">
        <f t="shared" si="449"/>
        <v>로맨스 웹소설 &gt; 현대물</v>
      </c>
    </row>
    <row r="3068" spans="1:48" x14ac:dyDescent="0.4">
      <c r="A3068">
        <v>2313010290</v>
      </c>
      <c r="B3068">
        <v>2313010362</v>
      </c>
      <c r="C3068" t="str">
        <f>T("아저씨, 내 기분 왜 이래요? 73화")</f>
        <v>아저씨, 내 기분 왜 이래요? 73화</v>
      </c>
      <c r="D3068" t="str">
        <f>T("73")</f>
        <v>73</v>
      </c>
      <c r="E3068" t="str">
        <f t="shared" si="446"/>
        <v>Livingston</v>
      </c>
      <c r="H3068" t="str">
        <f t="shared" si="450"/>
        <v>스토리위즈</v>
      </c>
      <c r="I3068" t="str">
        <f t="shared" si="447"/>
        <v>아저씨, 내 기분 왜 이래요?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448"/>
        <v>9791166069482</v>
      </c>
      <c r="AV3068" t="str">
        <f t="shared" si="449"/>
        <v>로맨스 웹소설 &gt; 현대물</v>
      </c>
    </row>
    <row r="3069" spans="1:48" x14ac:dyDescent="0.4">
      <c r="A3069">
        <v>2313010290</v>
      </c>
      <c r="B3069">
        <v>2313010363</v>
      </c>
      <c r="C3069" t="str">
        <f>T("아저씨, 내 기분 왜 이래요? 74화(완결)")</f>
        <v>아저씨, 내 기분 왜 이래요? 74화(완결)</v>
      </c>
      <c r="D3069" t="str">
        <f>T("74")</f>
        <v>74</v>
      </c>
      <c r="E3069" t="str">
        <f t="shared" si="446"/>
        <v>Livingston</v>
      </c>
      <c r="H3069" t="str">
        <f t="shared" si="450"/>
        <v>스토리위즈</v>
      </c>
      <c r="I3069" t="str">
        <f t="shared" si="447"/>
        <v>아저씨, 내 기분 왜 이래요?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448"/>
        <v>9791166069482</v>
      </c>
      <c r="AV3069" t="str">
        <f t="shared" si="449"/>
        <v>로맨스 웹소설 &gt; 현대물</v>
      </c>
    </row>
    <row r="3070" spans="1:48" x14ac:dyDescent="0.4">
      <c r="A3070">
        <v>2313010364</v>
      </c>
      <c r="B3070">
        <v>2313010389</v>
      </c>
      <c r="C3070" t="str">
        <f>T("절대자의 귀환 26화")</f>
        <v>절대자의 귀환 26화</v>
      </c>
      <c r="D3070" t="str">
        <f>T("26")</f>
        <v>26</v>
      </c>
      <c r="E3070" t="str">
        <f t="shared" ref="E3070:E3077" si="451">T("장유진")</f>
        <v>장유진</v>
      </c>
      <c r="H3070" t="str">
        <f t="shared" si="450"/>
        <v>스토리위즈</v>
      </c>
      <c r="I3070" t="str">
        <f t="shared" ref="I3070:I3077" si="452">T("절대자의 귀환")</f>
        <v>절대자의 귀환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ref="AT3070:AT3077" si="453">T("9791166069154")</f>
        <v>9791166069154</v>
      </c>
      <c r="AV3070" t="str">
        <f t="shared" ref="AV3070:AV3090" si="454">T("판타지 웹소설 &gt; 퓨전 판타지")</f>
        <v>판타지 웹소설 &gt; 퓨전 판타지</v>
      </c>
    </row>
    <row r="3071" spans="1:48" x14ac:dyDescent="0.4">
      <c r="A3071">
        <v>2313010364</v>
      </c>
      <c r="B3071">
        <v>2313010390</v>
      </c>
      <c r="C3071" t="str">
        <f>T("절대자의 귀환 27화")</f>
        <v>절대자의 귀환 27화</v>
      </c>
      <c r="D3071" t="str">
        <f>T("27")</f>
        <v>27</v>
      </c>
      <c r="E3071" t="str">
        <f t="shared" si="451"/>
        <v>장유진</v>
      </c>
      <c r="H3071" t="str">
        <f t="shared" si="450"/>
        <v>스토리위즈</v>
      </c>
      <c r="I3071" t="str">
        <f t="shared" si="452"/>
        <v>절대자의 귀환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453"/>
        <v>9791166069154</v>
      </c>
      <c r="AV3071" t="str">
        <f t="shared" si="454"/>
        <v>판타지 웹소설 &gt; 퓨전 판타지</v>
      </c>
    </row>
    <row r="3072" spans="1:48" x14ac:dyDescent="0.4">
      <c r="A3072">
        <v>2313010364</v>
      </c>
      <c r="B3072">
        <v>2313010391</v>
      </c>
      <c r="C3072" t="str">
        <f>T("절대자의 귀환 28화")</f>
        <v>절대자의 귀환 28화</v>
      </c>
      <c r="D3072" t="str">
        <f>T("28")</f>
        <v>28</v>
      </c>
      <c r="E3072" t="str">
        <f t="shared" si="451"/>
        <v>장유진</v>
      </c>
      <c r="H3072" t="str">
        <f t="shared" si="450"/>
        <v>스토리위즈</v>
      </c>
      <c r="I3072" t="str">
        <f t="shared" si="452"/>
        <v>절대자의 귀환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453"/>
        <v>9791166069154</v>
      </c>
      <c r="AV3072" t="str">
        <f t="shared" si="454"/>
        <v>판타지 웹소설 &gt; 퓨전 판타지</v>
      </c>
    </row>
    <row r="3073" spans="1:48" x14ac:dyDescent="0.4">
      <c r="A3073">
        <v>2313010364</v>
      </c>
      <c r="B3073">
        <v>2313010392</v>
      </c>
      <c r="C3073" t="str">
        <f>T("절대자의 귀환 29화")</f>
        <v>절대자의 귀환 29화</v>
      </c>
      <c r="D3073" t="str">
        <f>T("29")</f>
        <v>29</v>
      </c>
      <c r="E3073" t="str">
        <f t="shared" si="451"/>
        <v>장유진</v>
      </c>
      <c r="H3073" t="str">
        <f t="shared" si="450"/>
        <v>스토리위즈</v>
      </c>
      <c r="I3073" t="str">
        <f t="shared" si="452"/>
        <v>절대자의 귀환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453"/>
        <v>9791166069154</v>
      </c>
      <c r="AV3073" t="str">
        <f t="shared" si="454"/>
        <v>판타지 웹소설 &gt; 퓨전 판타지</v>
      </c>
    </row>
    <row r="3074" spans="1:48" x14ac:dyDescent="0.4">
      <c r="A3074">
        <v>2313010364</v>
      </c>
      <c r="B3074">
        <v>2313010393</v>
      </c>
      <c r="C3074" t="str">
        <f>T("절대자의 귀환 30화")</f>
        <v>절대자의 귀환 30화</v>
      </c>
      <c r="D3074" t="str">
        <f>T("30")</f>
        <v>30</v>
      </c>
      <c r="E3074" t="str">
        <f t="shared" si="451"/>
        <v>장유진</v>
      </c>
      <c r="H3074" t="str">
        <f t="shared" si="450"/>
        <v>스토리위즈</v>
      </c>
      <c r="I3074" t="str">
        <f t="shared" si="452"/>
        <v>절대자의 귀환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453"/>
        <v>9791166069154</v>
      </c>
      <c r="AV3074" t="str">
        <f t="shared" si="454"/>
        <v>판타지 웹소설 &gt; 퓨전 판타지</v>
      </c>
    </row>
    <row r="3075" spans="1:48" x14ac:dyDescent="0.4">
      <c r="A3075">
        <v>2313010364</v>
      </c>
      <c r="B3075">
        <v>2313010394</v>
      </c>
      <c r="C3075" t="str">
        <f>T("절대자의 귀환 31화")</f>
        <v>절대자의 귀환 31화</v>
      </c>
      <c r="D3075" t="str">
        <f>T("31")</f>
        <v>31</v>
      </c>
      <c r="E3075" t="str">
        <f t="shared" si="451"/>
        <v>장유진</v>
      </c>
      <c r="H3075" t="str">
        <f t="shared" si="450"/>
        <v>스토리위즈</v>
      </c>
      <c r="I3075" t="str">
        <f t="shared" si="452"/>
        <v>절대자의 귀환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453"/>
        <v>9791166069154</v>
      </c>
      <c r="AV3075" t="str">
        <f t="shared" si="454"/>
        <v>판타지 웹소설 &gt; 퓨전 판타지</v>
      </c>
    </row>
    <row r="3076" spans="1:48" x14ac:dyDescent="0.4">
      <c r="A3076">
        <v>2313010364</v>
      </c>
      <c r="B3076">
        <v>2313010395</v>
      </c>
      <c r="C3076" t="str">
        <f>T("절대자의 귀환 32화")</f>
        <v>절대자의 귀환 32화</v>
      </c>
      <c r="D3076" t="str">
        <f>T("32")</f>
        <v>32</v>
      </c>
      <c r="E3076" t="str">
        <f t="shared" si="451"/>
        <v>장유진</v>
      </c>
      <c r="H3076" t="str">
        <f t="shared" si="450"/>
        <v>스토리위즈</v>
      </c>
      <c r="I3076" t="str">
        <f t="shared" si="452"/>
        <v>절대자의 귀환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453"/>
        <v>9791166069154</v>
      </c>
      <c r="AV3076" t="str">
        <f t="shared" si="454"/>
        <v>판타지 웹소설 &gt; 퓨전 판타지</v>
      </c>
    </row>
    <row r="3077" spans="1:48" x14ac:dyDescent="0.4">
      <c r="A3077">
        <v>2313010364</v>
      </c>
      <c r="B3077">
        <v>2313010396</v>
      </c>
      <c r="C3077" t="str">
        <f>T("절대자의 귀환 33화")</f>
        <v>절대자의 귀환 33화</v>
      </c>
      <c r="D3077" t="str">
        <f>T("33")</f>
        <v>33</v>
      </c>
      <c r="E3077" t="str">
        <f t="shared" si="451"/>
        <v>장유진</v>
      </c>
      <c r="H3077" t="str">
        <f t="shared" si="450"/>
        <v>스토리위즈</v>
      </c>
      <c r="I3077" t="str">
        <f t="shared" si="452"/>
        <v>절대자의 귀환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453"/>
        <v>9791166069154</v>
      </c>
      <c r="AV3077" t="str">
        <f t="shared" si="454"/>
        <v>판타지 웹소설 &gt; 퓨전 판타지</v>
      </c>
    </row>
    <row r="3078" spans="1:48" x14ac:dyDescent="0.4">
      <c r="A3078">
        <v>2313010585</v>
      </c>
      <c r="B3078">
        <v>2313010618</v>
      </c>
      <c r="C3078" t="str">
        <f>T("라스트 서바이버 34화")</f>
        <v>라스트 서바이버 34화</v>
      </c>
      <c r="D3078" t="str">
        <f>T("34")</f>
        <v>34</v>
      </c>
      <c r="E3078" t="str">
        <f t="shared" ref="E3078:E3090" si="455">T("청빙")</f>
        <v>청빙</v>
      </c>
      <c r="H3078" t="str">
        <f t="shared" si="450"/>
        <v>스토리위즈</v>
      </c>
      <c r="I3078" t="str">
        <f t="shared" ref="I3078:I3090" si="456">T("라스트 서바이버")</f>
        <v>라스트 서바이버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ref="AT3078:AT3090" si="457">T("9791137600119")</f>
        <v>9791137600119</v>
      </c>
      <c r="AV3078" t="str">
        <f t="shared" si="454"/>
        <v>판타지 웹소설 &gt; 퓨전 판타지</v>
      </c>
    </row>
    <row r="3079" spans="1:48" x14ac:dyDescent="0.4">
      <c r="A3079">
        <v>2313010585</v>
      </c>
      <c r="B3079">
        <v>2313010619</v>
      </c>
      <c r="C3079" t="str">
        <f>T("라스트 서바이버 35화")</f>
        <v>라스트 서바이버 35화</v>
      </c>
      <c r="D3079" t="str">
        <f>T("35")</f>
        <v>35</v>
      </c>
      <c r="E3079" t="str">
        <f t="shared" si="455"/>
        <v>청빙</v>
      </c>
      <c r="H3079" t="str">
        <f t="shared" si="450"/>
        <v>스토리위즈</v>
      </c>
      <c r="I3079" t="str">
        <f t="shared" si="456"/>
        <v>라스트 서바이버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457"/>
        <v>9791137600119</v>
      </c>
      <c r="AV3079" t="str">
        <f t="shared" si="454"/>
        <v>판타지 웹소설 &gt; 퓨전 판타지</v>
      </c>
    </row>
    <row r="3080" spans="1:48" x14ac:dyDescent="0.4">
      <c r="A3080">
        <v>2313010585</v>
      </c>
      <c r="B3080">
        <v>2313010620</v>
      </c>
      <c r="C3080" t="str">
        <f>T("라스트 서바이버 36화")</f>
        <v>라스트 서바이버 36화</v>
      </c>
      <c r="D3080" t="str">
        <f>T("36")</f>
        <v>36</v>
      </c>
      <c r="E3080" t="str">
        <f t="shared" si="455"/>
        <v>청빙</v>
      </c>
      <c r="H3080" t="str">
        <f t="shared" si="450"/>
        <v>스토리위즈</v>
      </c>
      <c r="I3080" t="str">
        <f t="shared" si="456"/>
        <v>라스트 서바이버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si="457"/>
        <v>9791137600119</v>
      </c>
      <c r="AV3080" t="str">
        <f t="shared" si="454"/>
        <v>판타지 웹소설 &gt; 퓨전 판타지</v>
      </c>
    </row>
    <row r="3081" spans="1:48" x14ac:dyDescent="0.4">
      <c r="A3081">
        <v>2313010585</v>
      </c>
      <c r="B3081">
        <v>2313010621</v>
      </c>
      <c r="C3081" t="str">
        <f>T("라스트 서바이버 37화")</f>
        <v>라스트 서바이버 37화</v>
      </c>
      <c r="D3081" t="str">
        <f>T("37")</f>
        <v>37</v>
      </c>
      <c r="E3081" t="str">
        <f t="shared" si="455"/>
        <v>청빙</v>
      </c>
      <c r="H3081" t="str">
        <f t="shared" si="450"/>
        <v>스토리위즈</v>
      </c>
      <c r="I3081" t="str">
        <f t="shared" si="456"/>
        <v>라스트 서바이버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457"/>
        <v>9791137600119</v>
      </c>
      <c r="AV3081" t="str">
        <f t="shared" si="454"/>
        <v>판타지 웹소설 &gt; 퓨전 판타지</v>
      </c>
    </row>
    <row r="3082" spans="1:48" x14ac:dyDescent="0.4">
      <c r="A3082">
        <v>2313010585</v>
      </c>
      <c r="B3082">
        <v>2313010622</v>
      </c>
      <c r="C3082" t="str">
        <f>T("라스트 서바이버 38화")</f>
        <v>라스트 서바이버 38화</v>
      </c>
      <c r="D3082" t="str">
        <f>T("38")</f>
        <v>38</v>
      </c>
      <c r="E3082" t="str">
        <f t="shared" si="455"/>
        <v>청빙</v>
      </c>
      <c r="H3082" t="str">
        <f t="shared" si="450"/>
        <v>스토리위즈</v>
      </c>
      <c r="I3082" t="str">
        <f t="shared" si="456"/>
        <v>라스트 서바이버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457"/>
        <v>9791137600119</v>
      </c>
      <c r="AV3082" t="str">
        <f t="shared" si="454"/>
        <v>판타지 웹소설 &gt; 퓨전 판타지</v>
      </c>
    </row>
    <row r="3083" spans="1:48" x14ac:dyDescent="0.4">
      <c r="A3083">
        <v>2313010585</v>
      </c>
      <c r="B3083">
        <v>2313010623</v>
      </c>
      <c r="C3083" t="str">
        <f>T("라스트 서바이버 39화")</f>
        <v>라스트 서바이버 39화</v>
      </c>
      <c r="D3083" t="str">
        <f>T("39")</f>
        <v>39</v>
      </c>
      <c r="E3083" t="str">
        <f t="shared" si="455"/>
        <v>청빙</v>
      </c>
      <c r="H3083" t="str">
        <f t="shared" si="450"/>
        <v>스토리위즈</v>
      </c>
      <c r="I3083" t="str">
        <f t="shared" si="456"/>
        <v>라스트 서바이버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457"/>
        <v>9791137600119</v>
      </c>
      <c r="AV3083" t="str">
        <f t="shared" si="454"/>
        <v>판타지 웹소설 &gt; 퓨전 판타지</v>
      </c>
    </row>
    <row r="3084" spans="1:48" x14ac:dyDescent="0.4">
      <c r="A3084">
        <v>2313010585</v>
      </c>
      <c r="B3084">
        <v>2313010624</v>
      </c>
      <c r="C3084" t="str">
        <f>T("라스트 서바이버 40화")</f>
        <v>라스트 서바이버 40화</v>
      </c>
      <c r="D3084" t="str">
        <f>T("40")</f>
        <v>40</v>
      </c>
      <c r="E3084" t="str">
        <f t="shared" si="455"/>
        <v>청빙</v>
      </c>
      <c r="H3084" t="str">
        <f t="shared" si="450"/>
        <v>스토리위즈</v>
      </c>
      <c r="I3084" t="str">
        <f t="shared" si="456"/>
        <v>라스트 서바이버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457"/>
        <v>9791137600119</v>
      </c>
      <c r="AV3084" t="str">
        <f t="shared" si="454"/>
        <v>판타지 웹소설 &gt; 퓨전 판타지</v>
      </c>
    </row>
    <row r="3085" spans="1:48" x14ac:dyDescent="0.4">
      <c r="A3085">
        <v>2313010585</v>
      </c>
      <c r="B3085">
        <v>2313010625</v>
      </c>
      <c r="C3085" t="str">
        <f>T("라스트 서바이버 41화")</f>
        <v>라스트 서바이버 41화</v>
      </c>
      <c r="D3085" t="str">
        <f>T("41")</f>
        <v>41</v>
      </c>
      <c r="E3085" t="str">
        <f t="shared" si="455"/>
        <v>청빙</v>
      </c>
      <c r="H3085" t="str">
        <f t="shared" si="450"/>
        <v>스토리위즈</v>
      </c>
      <c r="I3085" t="str">
        <f t="shared" si="456"/>
        <v>라스트 서바이버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457"/>
        <v>9791137600119</v>
      </c>
      <c r="AV3085" t="str">
        <f t="shared" si="454"/>
        <v>판타지 웹소설 &gt; 퓨전 판타지</v>
      </c>
    </row>
    <row r="3086" spans="1:48" x14ac:dyDescent="0.4">
      <c r="A3086">
        <v>2313010585</v>
      </c>
      <c r="B3086">
        <v>2313010626</v>
      </c>
      <c r="C3086" t="str">
        <f>T("라스트 서바이버 42화")</f>
        <v>라스트 서바이버 42화</v>
      </c>
      <c r="D3086" t="str">
        <f>T("42")</f>
        <v>42</v>
      </c>
      <c r="E3086" t="str">
        <f t="shared" si="455"/>
        <v>청빙</v>
      </c>
      <c r="H3086" t="str">
        <f t="shared" si="450"/>
        <v>스토리위즈</v>
      </c>
      <c r="I3086" t="str">
        <f t="shared" si="456"/>
        <v>라스트 서바이버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457"/>
        <v>9791137600119</v>
      </c>
      <c r="AV3086" t="str">
        <f t="shared" si="454"/>
        <v>판타지 웹소설 &gt; 퓨전 판타지</v>
      </c>
    </row>
    <row r="3087" spans="1:48" x14ac:dyDescent="0.4">
      <c r="A3087">
        <v>2313010585</v>
      </c>
      <c r="B3087">
        <v>2313010778</v>
      </c>
      <c r="C3087" t="str">
        <f>T("라스트 서바이버 194화")</f>
        <v>라스트 서바이버 194화</v>
      </c>
      <c r="D3087" t="str">
        <f>T("194")</f>
        <v>194</v>
      </c>
      <c r="E3087" t="str">
        <f t="shared" si="455"/>
        <v>청빙</v>
      </c>
      <c r="H3087" t="str">
        <f t="shared" si="450"/>
        <v>스토리위즈</v>
      </c>
      <c r="I3087" t="str">
        <f t="shared" si="456"/>
        <v>라스트 서바이버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457"/>
        <v>9791137600119</v>
      </c>
      <c r="AV3087" t="str">
        <f t="shared" si="454"/>
        <v>판타지 웹소설 &gt; 퓨전 판타지</v>
      </c>
    </row>
    <row r="3088" spans="1:48" x14ac:dyDescent="0.4">
      <c r="A3088">
        <v>2313010585</v>
      </c>
      <c r="B3088">
        <v>2313010779</v>
      </c>
      <c r="C3088" t="str">
        <f>T("라스트 서바이버 195화")</f>
        <v>라스트 서바이버 195화</v>
      </c>
      <c r="D3088" t="str">
        <f>T("195")</f>
        <v>195</v>
      </c>
      <c r="E3088" t="str">
        <f t="shared" si="455"/>
        <v>청빙</v>
      </c>
      <c r="H3088" t="str">
        <f t="shared" si="450"/>
        <v>스토리위즈</v>
      </c>
      <c r="I3088" t="str">
        <f t="shared" si="456"/>
        <v>라스트 서바이버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457"/>
        <v>9791137600119</v>
      </c>
      <c r="AV3088" t="str">
        <f t="shared" si="454"/>
        <v>판타지 웹소설 &gt; 퓨전 판타지</v>
      </c>
    </row>
    <row r="3089" spans="1:48" x14ac:dyDescent="0.4">
      <c r="A3089">
        <v>2313010585</v>
      </c>
      <c r="B3089">
        <v>2313010780</v>
      </c>
      <c r="C3089" t="str">
        <f>T("라스트 서바이버 196화")</f>
        <v>라스트 서바이버 196화</v>
      </c>
      <c r="D3089" t="str">
        <f>T("196")</f>
        <v>196</v>
      </c>
      <c r="E3089" t="str">
        <f t="shared" si="455"/>
        <v>청빙</v>
      </c>
      <c r="H3089" t="str">
        <f t="shared" si="450"/>
        <v>스토리위즈</v>
      </c>
      <c r="I3089" t="str">
        <f t="shared" si="456"/>
        <v>라스트 서바이버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457"/>
        <v>9791137600119</v>
      </c>
      <c r="AV3089" t="str">
        <f t="shared" si="454"/>
        <v>판타지 웹소설 &gt; 퓨전 판타지</v>
      </c>
    </row>
    <row r="3090" spans="1:48" x14ac:dyDescent="0.4">
      <c r="A3090">
        <v>2313010585</v>
      </c>
      <c r="B3090">
        <v>2313010781</v>
      </c>
      <c r="C3090" t="str">
        <f>T("라스트 서바이버 197화")</f>
        <v>라스트 서바이버 197화</v>
      </c>
      <c r="D3090" t="str">
        <f>T("197")</f>
        <v>197</v>
      </c>
      <c r="E3090" t="str">
        <f t="shared" si="455"/>
        <v>청빙</v>
      </c>
      <c r="H3090" t="str">
        <f t="shared" si="450"/>
        <v>스토리위즈</v>
      </c>
      <c r="I3090" t="str">
        <f t="shared" si="456"/>
        <v>라스트 서바이버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457"/>
        <v>9791137600119</v>
      </c>
      <c r="AV3090" t="str">
        <f t="shared" si="454"/>
        <v>판타지 웹소설 &gt; 퓨전 판타지</v>
      </c>
    </row>
    <row r="3091" spans="1:48" x14ac:dyDescent="0.4">
      <c r="A3091">
        <v>2313011400</v>
      </c>
      <c r="B3091">
        <v>2313011525</v>
      </c>
      <c r="C3091" t="str">
        <f>T("최종 보스 6권 18화")</f>
        <v>최종 보스 6권 18화</v>
      </c>
      <c r="D3091" t="str">
        <f>T("126")</f>
        <v>126</v>
      </c>
      <c r="E3091" t="str">
        <f t="shared" ref="E3091:E3154" si="458">T("무장")</f>
        <v>무장</v>
      </c>
      <c r="H3091" t="str">
        <f t="shared" si="450"/>
        <v>스토리위즈</v>
      </c>
      <c r="I3091" t="str">
        <f t="shared" ref="I3091:I3154" si="459">T("최종 보스 : 빛을 향해 달리는 그림자")</f>
        <v>최종 보스 : 빛을 향해 달리는 그림자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ref="AT3091:AT3154" si="460">T("9791166067563")</f>
        <v>9791166067563</v>
      </c>
      <c r="AV3091" t="str">
        <f t="shared" ref="AV3091:AV3154" si="461">T("판타지 웹소설 &gt; 현대 판타지")</f>
        <v>판타지 웹소설 &gt; 현대 판타지</v>
      </c>
    </row>
    <row r="3092" spans="1:48" x14ac:dyDescent="0.4">
      <c r="A3092">
        <v>2313011400</v>
      </c>
      <c r="B3092">
        <v>2313011526</v>
      </c>
      <c r="C3092" t="str">
        <f>T("최종 보스 6권 19화")</f>
        <v>최종 보스 6권 19화</v>
      </c>
      <c r="D3092" t="str">
        <f>T("127")</f>
        <v>127</v>
      </c>
      <c r="E3092" t="str">
        <f t="shared" si="458"/>
        <v>무장</v>
      </c>
      <c r="H3092" t="str">
        <f t="shared" si="450"/>
        <v>스토리위즈</v>
      </c>
      <c r="I3092" t="str">
        <f t="shared" si="459"/>
        <v>최종 보스 : 빛을 향해 달리는 그림자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460"/>
        <v>9791166067563</v>
      </c>
      <c r="AV3092" t="str">
        <f t="shared" si="461"/>
        <v>판타지 웹소설 &gt; 현대 판타지</v>
      </c>
    </row>
    <row r="3093" spans="1:48" x14ac:dyDescent="0.4">
      <c r="A3093">
        <v>2313011400</v>
      </c>
      <c r="B3093">
        <v>2313011527</v>
      </c>
      <c r="C3093" t="str">
        <f>T("최종 보스 6권 20화")</f>
        <v>최종 보스 6권 20화</v>
      </c>
      <c r="D3093" t="str">
        <f>T("128")</f>
        <v>128</v>
      </c>
      <c r="E3093" t="str">
        <f t="shared" si="458"/>
        <v>무장</v>
      </c>
      <c r="H3093" t="str">
        <f t="shared" si="450"/>
        <v>스토리위즈</v>
      </c>
      <c r="I3093" t="str">
        <f t="shared" si="459"/>
        <v>최종 보스 : 빛을 향해 달리는 그림자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460"/>
        <v>9791166067563</v>
      </c>
      <c r="AV3093" t="str">
        <f t="shared" si="461"/>
        <v>판타지 웹소설 &gt; 현대 판타지</v>
      </c>
    </row>
    <row r="3094" spans="1:48" x14ac:dyDescent="0.4">
      <c r="A3094">
        <v>2313011400</v>
      </c>
      <c r="B3094">
        <v>2313011528</v>
      </c>
      <c r="C3094" t="str">
        <f>T("최종 보스 6권 21화")</f>
        <v>최종 보스 6권 21화</v>
      </c>
      <c r="D3094" t="str">
        <f>T("129")</f>
        <v>129</v>
      </c>
      <c r="E3094" t="str">
        <f t="shared" si="458"/>
        <v>무장</v>
      </c>
      <c r="H3094" t="str">
        <f t="shared" si="450"/>
        <v>스토리위즈</v>
      </c>
      <c r="I3094" t="str">
        <f t="shared" si="459"/>
        <v>최종 보스 : 빛을 향해 달리는 그림자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460"/>
        <v>9791166067563</v>
      </c>
      <c r="AV3094" t="str">
        <f t="shared" si="461"/>
        <v>판타지 웹소설 &gt; 현대 판타지</v>
      </c>
    </row>
    <row r="3095" spans="1:48" x14ac:dyDescent="0.4">
      <c r="A3095">
        <v>2313011400</v>
      </c>
      <c r="B3095">
        <v>2313011529</v>
      </c>
      <c r="C3095" t="str">
        <f>T("최종 보스 7권 1화")</f>
        <v>최종 보스 7권 1화</v>
      </c>
      <c r="D3095" t="str">
        <f>T("130")</f>
        <v>130</v>
      </c>
      <c r="E3095" t="str">
        <f t="shared" si="458"/>
        <v>무장</v>
      </c>
      <c r="H3095" t="str">
        <f t="shared" si="450"/>
        <v>스토리위즈</v>
      </c>
      <c r="I3095" t="str">
        <f t="shared" si="459"/>
        <v>최종 보스 : 빛을 향해 달리는 그림자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460"/>
        <v>9791166067563</v>
      </c>
      <c r="AV3095" t="str">
        <f t="shared" si="461"/>
        <v>판타지 웹소설 &gt; 현대 판타지</v>
      </c>
    </row>
    <row r="3096" spans="1:48" x14ac:dyDescent="0.4">
      <c r="A3096">
        <v>2313011400</v>
      </c>
      <c r="B3096">
        <v>2313011530</v>
      </c>
      <c r="C3096" t="str">
        <f>T("최종 보스 7권 2화")</f>
        <v>최종 보스 7권 2화</v>
      </c>
      <c r="D3096" t="str">
        <f>T("131")</f>
        <v>131</v>
      </c>
      <c r="E3096" t="str">
        <f t="shared" si="458"/>
        <v>무장</v>
      </c>
      <c r="H3096" t="str">
        <f t="shared" si="450"/>
        <v>스토리위즈</v>
      </c>
      <c r="I3096" t="str">
        <f t="shared" si="459"/>
        <v>최종 보스 : 빛을 향해 달리는 그림자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460"/>
        <v>9791166067563</v>
      </c>
      <c r="AV3096" t="str">
        <f t="shared" si="461"/>
        <v>판타지 웹소설 &gt; 현대 판타지</v>
      </c>
    </row>
    <row r="3097" spans="1:48" x14ac:dyDescent="0.4">
      <c r="A3097">
        <v>2313011400</v>
      </c>
      <c r="B3097">
        <v>2313011531</v>
      </c>
      <c r="C3097" t="str">
        <f>T("최종 보스 7권 3화")</f>
        <v>최종 보스 7권 3화</v>
      </c>
      <c r="D3097" t="str">
        <f>T("132")</f>
        <v>132</v>
      </c>
      <c r="E3097" t="str">
        <f t="shared" si="458"/>
        <v>무장</v>
      </c>
      <c r="H3097" t="str">
        <f t="shared" si="450"/>
        <v>스토리위즈</v>
      </c>
      <c r="I3097" t="str">
        <f t="shared" si="459"/>
        <v>최종 보스 : 빛을 향해 달리는 그림자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460"/>
        <v>9791166067563</v>
      </c>
      <c r="AV3097" t="str">
        <f t="shared" si="461"/>
        <v>판타지 웹소설 &gt; 현대 판타지</v>
      </c>
    </row>
    <row r="3098" spans="1:48" x14ac:dyDescent="0.4">
      <c r="A3098">
        <v>2313011400</v>
      </c>
      <c r="B3098">
        <v>2313011532</v>
      </c>
      <c r="C3098" t="str">
        <f>T("최종 보스 7권 4화")</f>
        <v>최종 보스 7권 4화</v>
      </c>
      <c r="D3098" t="str">
        <f>T("133")</f>
        <v>133</v>
      </c>
      <c r="E3098" t="str">
        <f t="shared" si="458"/>
        <v>무장</v>
      </c>
      <c r="H3098" t="str">
        <f t="shared" si="450"/>
        <v>스토리위즈</v>
      </c>
      <c r="I3098" t="str">
        <f t="shared" si="459"/>
        <v>최종 보스 : 빛을 향해 달리는 그림자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460"/>
        <v>9791166067563</v>
      </c>
      <c r="AV3098" t="str">
        <f t="shared" si="461"/>
        <v>판타지 웹소설 &gt; 현대 판타지</v>
      </c>
    </row>
    <row r="3099" spans="1:48" x14ac:dyDescent="0.4">
      <c r="A3099">
        <v>2313011400</v>
      </c>
      <c r="B3099">
        <v>2313011533</v>
      </c>
      <c r="C3099" t="str">
        <f>T("최종 보스 7권 5화")</f>
        <v>최종 보스 7권 5화</v>
      </c>
      <c r="D3099" t="str">
        <f>T("134")</f>
        <v>134</v>
      </c>
      <c r="E3099" t="str">
        <f t="shared" si="458"/>
        <v>무장</v>
      </c>
      <c r="H3099" t="str">
        <f t="shared" si="450"/>
        <v>스토리위즈</v>
      </c>
      <c r="I3099" t="str">
        <f t="shared" si="459"/>
        <v>최종 보스 : 빛을 향해 달리는 그림자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460"/>
        <v>9791166067563</v>
      </c>
      <c r="AV3099" t="str">
        <f t="shared" si="461"/>
        <v>판타지 웹소설 &gt; 현대 판타지</v>
      </c>
    </row>
    <row r="3100" spans="1:48" x14ac:dyDescent="0.4">
      <c r="A3100">
        <v>2313011400</v>
      </c>
      <c r="B3100">
        <v>2313011534</v>
      </c>
      <c r="C3100" t="str">
        <f>T("최종 보스 7권 6화")</f>
        <v>최종 보스 7권 6화</v>
      </c>
      <c r="D3100" t="str">
        <f>T("135")</f>
        <v>135</v>
      </c>
      <c r="E3100" t="str">
        <f t="shared" si="458"/>
        <v>무장</v>
      </c>
      <c r="H3100" t="str">
        <f t="shared" si="450"/>
        <v>스토리위즈</v>
      </c>
      <c r="I3100" t="str">
        <f t="shared" si="459"/>
        <v>최종 보스 : 빛을 향해 달리는 그림자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460"/>
        <v>9791166067563</v>
      </c>
      <c r="AV3100" t="str">
        <f t="shared" si="461"/>
        <v>판타지 웹소설 &gt; 현대 판타지</v>
      </c>
    </row>
    <row r="3101" spans="1:48" x14ac:dyDescent="0.4">
      <c r="A3101">
        <v>2313011400</v>
      </c>
      <c r="B3101">
        <v>2313011535</v>
      </c>
      <c r="C3101" t="str">
        <f>T("최종 보스 7권 7화")</f>
        <v>최종 보스 7권 7화</v>
      </c>
      <c r="D3101" t="str">
        <f>T("136")</f>
        <v>136</v>
      </c>
      <c r="E3101" t="str">
        <f t="shared" si="458"/>
        <v>무장</v>
      </c>
      <c r="H3101" t="str">
        <f t="shared" si="450"/>
        <v>스토리위즈</v>
      </c>
      <c r="I3101" t="str">
        <f t="shared" si="459"/>
        <v>최종 보스 : 빛을 향해 달리는 그림자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460"/>
        <v>9791166067563</v>
      </c>
      <c r="AV3101" t="str">
        <f t="shared" si="461"/>
        <v>판타지 웹소설 &gt; 현대 판타지</v>
      </c>
    </row>
    <row r="3102" spans="1:48" x14ac:dyDescent="0.4">
      <c r="A3102">
        <v>2313011400</v>
      </c>
      <c r="B3102">
        <v>2313011536</v>
      </c>
      <c r="C3102" t="str">
        <f>T("최종 보스 7권 8화")</f>
        <v>최종 보스 7권 8화</v>
      </c>
      <c r="D3102" t="str">
        <f>T("137")</f>
        <v>137</v>
      </c>
      <c r="E3102" t="str">
        <f t="shared" si="458"/>
        <v>무장</v>
      </c>
      <c r="H3102" t="str">
        <f t="shared" si="450"/>
        <v>스토리위즈</v>
      </c>
      <c r="I3102" t="str">
        <f t="shared" si="459"/>
        <v>최종 보스 : 빛을 향해 달리는 그림자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460"/>
        <v>9791166067563</v>
      </c>
      <c r="AV3102" t="str">
        <f t="shared" si="461"/>
        <v>판타지 웹소설 &gt; 현대 판타지</v>
      </c>
    </row>
    <row r="3103" spans="1:48" x14ac:dyDescent="0.4">
      <c r="A3103">
        <v>2313011400</v>
      </c>
      <c r="B3103">
        <v>2313011537</v>
      </c>
      <c r="C3103" t="str">
        <f>T("최종 보스 7권 9화")</f>
        <v>최종 보스 7권 9화</v>
      </c>
      <c r="D3103" t="str">
        <f>T("138")</f>
        <v>138</v>
      </c>
      <c r="E3103" t="str">
        <f t="shared" si="458"/>
        <v>무장</v>
      </c>
      <c r="H3103" t="str">
        <f t="shared" si="450"/>
        <v>스토리위즈</v>
      </c>
      <c r="I3103" t="str">
        <f t="shared" si="459"/>
        <v>최종 보스 : 빛을 향해 달리는 그림자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460"/>
        <v>9791166067563</v>
      </c>
      <c r="AV3103" t="str">
        <f t="shared" si="461"/>
        <v>판타지 웹소설 &gt; 현대 판타지</v>
      </c>
    </row>
    <row r="3104" spans="1:48" x14ac:dyDescent="0.4">
      <c r="A3104">
        <v>2313011400</v>
      </c>
      <c r="B3104">
        <v>2313011538</v>
      </c>
      <c r="C3104" t="str">
        <f>T("최종 보스 7권 10화")</f>
        <v>최종 보스 7권 10화</v>
      </c>
      <c r="D3104" t="str">
        <f>T("139")</f>
        <v>139</v>
      </c>
      <c r="E3104" t="str">
        <f t="shared" si="458"/>
        <v>무장</v>
      </c>
      <c r="H3104" t="str">
        <f t="shared" si="450"/>
        <v>스토리위즈</v>
      </c>
      <c r="I3104" t="str">
        <f t="shared" si="459"/>
        <v>최종 보스 : 빛을 향해 달리는 그림자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460"/>
        <v>9791166067563</v>
      </c>
      <c r="AV3104" t="str">
        <f t="shared" si="461"/>
        <v>판타지 웹소설 &gt; 현대 판타지</v>
      </c>
    </row>
    <row r="3105" spans="1:48" x14ac:dyDescent="0.4">
      <c r="A3105">
        <v>2313011400</v>
      </c>
      <c r="B3105">
        <v>2313011539</v>
      </c>
      <c r="C3105" t="str">
        <f>T("최종 보스 7권 11화")</f>
        <v>최종 보스 7권 11화</v>
      </c>
      <c r="D3105" t="str">
        <f>T("140")</f>
        <v>140</v>
      </c>
      <c r="E3105" t="str">
        <f t="shared" si="458"/>
        <v>무장</v>
      </c>
      <c r="H3105" t="str">
        <f t="shared" si="450"/>
        <v>스토리위즈</v>
      </c>
      <c r="I3105" t="str">
        <f t="shared" si="459"/>
        <v>최종 보스 : 빛을 향해 달리는 그림자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460"/>
        <v>9791166067563</v>
      </c>
      <c r="AV3105" t="str">
        <f t="shared" si="461"/>
        <v>판타지 웹소설 &gt; 현대 판타지</v>
      </c>
    </row>
    <row r="3106" spans="1:48" x14ac:dyDescent="0.4">
      <c r="A3106">
        <v>2313011400</v>
      </c>
      <c r="B3106">
        <v>2313011540</v>
      </c>
      <c r="C3106" t="str">
        <f>T("최종 보스 7권 12화")</f>
        <v>최종 보스 7권 12화</v>
      </c>
      <c r="D3106" t="str">
        <f>T("141")</f>
        <v>141</v>
      </c>
      <c r="E3106" t="str">
        <f t="shared" si="458"/>
        <v>무장</v>
      </c>
      <c r="H3106" t="str">
        <f t="shared" si="450"/>
        <v>스토리위즈</v>
      </c>
      <c r="I3106" t="str">
        <f t="shared" si="459"/>
        <v>최종 보스 : 빛을 향해 달리는 그림자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460"/>
        <v>9791166067563</v>
      </c>
      <c r="AV3106" t="str">
        <f t="shared" si="461"/>
        <v>판타지 웹소설 &gt; 현대 판타지</v>
      </c>
    </row>
    <row r="3107" spans="1:48" x14ac:dyDescent="0.4">
      <c r="A3107">
        <v>2313011400</v>
      </c>
      <c r="B3107">
        <v>2313011541</v>
      </c>
      <c r="C3107" t="str">
        <f>T("최종 보스 7권 13화")</f>
        <v>최종 보스 7권 13화</v>
      </c>
      <c r="D3107" t="str">
        <f>T("142")</f>
        <v>142</v>
      </c>
      <c r="E3107" t="str">
        <f t="shared" si="458"/>
        <v>무장</v>
      </c>
      <c r="H3107" t="str">
        <f t="shared" si="450"/>
        <v>스토리위즈</v>
      </c>
      <c r="I3107" t="str">
        <f t="shared" si="459"/>
        <v>최종 보스 : 빛을 향해 달리는 그림자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460"/>
        <v>9791166067563</v>
      </c>
      <c r="AV3107" t="str">
        <f t="shared" si="461"/>
        <v>판타지 웹소설 &gt; 현대 판타지</v>
      </c>
    </row>
    <row r="3108" spans="1:48" x14ac:dyDescent="0.4">
      <c r="A3108">
        <v>2313011400</v>
      </c>
      <c r="B3108">
        <v>2313011542</v>
      </c>
      <c r="C3108" t="str">
        <f>T("최종 보스 7권 14화")</f>
        <v>최종 보스 7권 14화</v>
      </c>
      <c r="D3108" t="str">
        <f>T("143")</f>
        <v>143</v>
      </c>
      <c r="E3108" t="str">
        <f t="shared" si="458"/>
        <v>무장</v>
      </c>
      <c r="H3108" t="str">
        <f t="shared" si="450"/>
        <v>스토리위즈</v>
      </c>
      <c r="I3108" t="str">
        <f t="shared" si="459"/>
        <v>최종 보스 : 빛을 향해 달리는 그림자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460"/>
        <v>9791166067563</v>
      </c>
      <c r="AV3108" t="str">
        <f t="shared" si="461"/>
        <v>판타지 웹소설 &gt; 현대 판타지</v>
      </c>
    </row>
    <row r="3109" spans="1:48" x14ac:dyDescent="0.4">
      <c r="A3109">
        <v>2313011400</v>
      </c>
      <c r="B3109">
        <v>2313011543</v>
      </c>
      <c r="C3109" t="str">
        <f>T("최종 보스 7권 15화")</f>
        <v>최종 보스 7권 15화</v>
      </c>
      <c r="D3109" t="str">
        <f>T("144")</f>
        <v>144</v>
      </c>
      <c r="E3109" t="str">
        <f t="shared" si="458"/>
        <v>무장</v>
      </c>
      <c r="H3109" t="str">
        <f t="shared" si="450"/>
        <v>스토리위즈</v>
      </c>
      <c r="I3109" t="str">
        <f t="shared" si="459"/>
        <v>최종 보스 : 빛을 향해 달리는 그림자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460"/>
        <v>9791166067563</v>
      </c>
      <c r="AV3109" t="str">
        <f t="shared" si="461"/>
        <v>판타지 웹소설 &gt; 현대 판타지</v>
      </c>
    </row>
    <row r="3110" spans="1:48" x14ac:dyDescent="0.4">
      <c r="A3110">
        <v>2313011400</v>
      </c>
      <c r="B3110">
        <v>2313011544</v>
      </c>
      <c r="C3110" t="str">
        <f>T("최종 보스 7권 16화")</f>
        <v>최종 보스 7권 16화</v>
      </c>
      <c r="D3110" t="str">
        <f>T("145")</f>
        <v>145</v>
      </c>
      <c r="E3110" t="str">
        <f t="shared" si="458"/>
        <v>무장</v>
      </c>
      <c r="H3110" t="str">
        <f t="shared" si="450"/>
        <v>스토리위즈</v>
      </c>
      <c r="I3110" t="str">
        <f t="shared" si="459"/>
        <v>최종 보스 : 빛을 향해 달리는 그림자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460"/>
        <v>9791166067563</v>
      </c>
      <c r="AV3110" t="str">
        <f t="shared" si="461"/>
        <v>판타지 웹소설 &gt; 현대 판타지</v>
      </c>
    </row>
    <row r="3111" spans="1:48" x14ac:dyDescent="0.4">
      <c r="A3111">
        <v>2313011400</v>
      </c>
      <c r="B3111">
        <v>2313011545</v>
      </c>
      <c r="C3111" t="str">
        <f>T("최종 보스 7권 17화")</f>
        <v>최종 보스 7권 17화</v>
      </c>
      <c r="D3111" t="str">
        <f>T("146")</f>
        <v>146</v>
      </c>
      <c r="E3111" t="str">
        <f t="shared" si="458"/>
        <v>무장</v>
      </c>
      <c r="H3111" t="str">
        <f t="shared" si="450"/>
        <v>스토리위즈</v>
      </c>
      <c r="I3111" t="str">
        <f t="shared" si="459"/>
        <v>최종 보스 : 빛을 향해 달리는 그림자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460"/>
        <v>9791166067563</v>
      </c>
      <c r="AV3111" t="str">
        <f t="shared" si="461"/>
        <v>판타지 웹소설 &gt; 현대 판타지</v>
      </c>
    </row>
    <row r="3112" spans="1:48" x14ac:dyDescent="0.4">
      <c r="A3112">
        <v>2313011400</v>
      </c>
      <c r="B3112">
        <v>2313011546</v>
      </c>
      <c r="C3112" t="str">
        <f>T("최종 보스 7권 18화")</f>
        <v>최종 보스 7권 18화</v>
      </c>
      <c r="D3112" t="str">
        <f>T("147")</f>
        <v>147</v>
      </c>
      <c r="E3112" t="str">
        <f t="shared" si="458"/>
        <v>무장</v>
      </c>
      <c r="H3112" t="str">
        <f t="shared" si="450"/>
        <v>스토리위즈</v>
      </c>
      <c r="I3112" t="str">
        <f t="shared" si="459"/>
        <v>최종 보스 : 빛을 향해 달리는 그림자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460"/>
        <v>9791166067563</v>
      </c>
      <c r="AV3112" t="str">
        <f t="shared" si="461"/>
        <v>판타지 웹소설 &gt; 현대 판타지</v>
      </c>
    </row>
    <row r="3113" spans="1:48" x14ac:dyDescent="0.4">
      <c r="A3113">
        <v>2313011400</v>
      </c>
      <c r="B3113">
        <v>2313011547</v>
      </c>
      <c r="C3113" t="str">
        <f>T("최종 보스 7권 19화")</f>
        <v>최종 보스 7권 19화</v>
      </c>
      <c r="D3113" t="str">
        <f>T("148")</f>
        <v>148</v>
      </c>
      <c r="E3113" t="str">
        <f t="shared" si="458"/>
        <v>무장</v>
      </c>
      <c r="H3113" t="str">
        <f t="shared" si="450"/>
        <v>스토리위즈</v>
      </c>
      <c r="I3113" t="str">
        <f t="shared" si="459"/>
        <v>최종 보스 : 빛을 향해 달리는 그림자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460"/>
        <v>9791166067563</v>
      </c>
      <c r="AV3113" t="str">
        <f t="shared" si="461"/>
        <v>판타지 웹소설 &gt; 현대 판타지</v>
      </c>
    </row>
    <row r="3114" spans="1:48" x14ac:dyDescent="0.4">
      <c r="A3114">
        <v>2313011400</v>
      </c>
      <c r="B3114">
        <v>2313011548</v>
      </c>
      <c r="C3114" t="str">
        <f>T("최종 보스 7권 20화")</f>
        <v>최종 보스 7권 20화</v>
      </c>
      <c r="D3114" t="str">
        <f>T("149")</f>
        <v>149</v>
      </c>
      <c r="E3114" t="str">
        <f t="shared" si="458"/>
        <v>무장</v>
      </c>
      <c r="H3114" t="str">
        <f t="shared" si="450"/>
        <v>스토리위즈</v>
      </c>
      <c r="I3114" t="str">
        <f t="shared" si="459"/>
        <v>최종 보스 : 빛을 향해 달리는 그림자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460"/>
        <v>9791166067563</v>
      </c>
      <c r="AV3114" t="str">
        <f t="shared" si="461"/>
        <v>판타지 웹소설 &gt; 현대 판타지</v>
      </c>
    </row>
    <row r="3115" spans="1:48" x14ac:dyDescent="0.4">
      <c r="A3115">
        <v>2313011400</v>
      </c>
      <c r="B3115">
        <v>2313011549</v>
      </c>
      <c r="C3115" t="str">
        <f>T("최종 보스 8권 1화")</f>
        <v>최종 보스 8권 1화</v>
      </c>
      <c r="D3115" t="str">
        <f>T("150")</f>
        <v>150</v>
      </c>
      <c r="E3115" t="str">
        <f t="shared" si="458"/>
        <v>무장</v>
      </c>
      <c r="H3115" t="str">
        <f t="shared" si="450"/>
        <v>스토리위즈</v>
      </c>
      <c r="I3115" t="str">
        <f t="shared" si="459"/>
        <v>최종 보스 : 빛을 향해 달리는 그림자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460"/>
        <v>9791166067563</v>
      </c>
      <c r="AV3115" t="str">
        <f t="shared" si="461"/>
        <v>판타지 웹소설 &gt; 현대 판타지</v>
      </c>
    </row>
    <row r="3116" spans="1:48" x14ac:dyDescent="0.4">
      <c r="A3116">
        <v>2313011400</v>
      </c>
      <c r="B3116">
        <v>2313011550</v>
      </c>
      <c r="C3116" t="str">
        <f>T("최종 보스 8권 2화")</f>
        <v>최종 보스 8권 2화</v>
      </c>
      <c r="D3116" t="str">
        <f>T("151")</f>
        <v>151</v>
      </c>
      <c r="E3116" t="str">
        <f t="shared" si="458"/>
        <v>무장</v>
      </c>
      <c r="H3116" t="str">
        <f t="shared" si="450"/>
        <v>스토리위즈</v>
      </c>
      <c r="I3116" t="str">
        <f t="shared" si="459"/>
        <v>최종 보스 : 빛을 향해 달리는 그림자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460"/>
        <v>9791166067563</v>
      </c>
      <c r="AV3116" t="str">
        <f t="shared" si="461"/>
        <v>판타지 웹소설 &gt; 현대 판타지</v>
      </c>
    </row>
    <row r="3117" spans="1:48" x14ac:dyDescent="0.4">
      <c r="A3117">
        <v>2313011400</v>
      </c>
      <c r="B3117">
        <v>2313011551</v>
      </c>
      <c r="C3117" t="str">
        <f>T("최종 보스 8권 3화")</f>
        <v>최종 보스 8권 3화</v>
      </c>
      <c r="D3117" t="str">
        <f>T("152")</f>
        <v>152</v>
      </c>
      <c r="E3117" t="str">
        <f t="shared" si="458"/>
        <v>무장</v>
      </c>
      <c r="H3117" t="str">
        <f t="shared" si="450"/>
        <v>스토리위즈</v>
      </c>
      <c r="I3117" t="str">
        <f t="shared" si="459"/>
        <v>최종 보스 : 빛을 향해 달리는 그림자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460"/>
        <v>9791166067563</v>
      </c>
      <c r="AV3117" t="str">
        <f t="shared" si="461"/>
        <v>판타지 웹소설 &gt; 현대 판타지</v>
      </c>
    </row>
    <row r="3118" spans="1:48" x14ac:dyDescent="0.4">
      <c r="A3118">
        <v>2313011400</v>
      </c>
      <c r="B3118">
        <v>2313011552</v>
      </c>
      <c r="C3118" t="str">
        <f>T("최종 보스 8권 4화")</f>
        <v>최종 보스 8권 4화</v>
      </c>
      <c r="D3118" t="str">
        <f>T("153")</f>
        <v>153</v>
      </c>
      <c r="E3118" t="str">
        <f t="shared" si="458"/>
        <v>무장</v>
      </c>
      <c r="H3118" t="str">
        <f t="shared" si="450"/>
        <v>스토리위즈</v>
      </c>
      <c r="I3118" t="str">
        <f t="shared" si="459"/>
        <v>최종 보스 : 빛을 향해 달리는 그림자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460"/>
        <v>9791166067563</v>
      </c>
      <c r="AV3118" t="str">
        <f t="shared" si="461"/>
        <v>판타지 웹소설 &gt; 현대 판타지</v>
      </c>
    </row>
    <row r="3119" spans="1:48" x14ac:dyDescent="0.4">
      <c r="A3119">
        <v>2313011400</v>
      </c>
      <c r="B3119">
        <v>2313011553</v>
      </c>
      <c r="C3119" t="str">
        <f>T("최종 보스 8권 5화")</f>
        <v>최종 보스 8권 5화</v>
      </c>
      <c r="D3119" t="str">
        <f>T("154")</f>
        <v>154</v>
      </c>
      <c r="E3119" t="str">
        <f t="shared" si="458"/>
        <v>무장</v>
      </c>
      <c r="H3119" t="str">
        <f t="shared" si="450"/>
        <v>스토리위즈</v>
      </c>
      <c r="I3119" t="str">
        <f t="shared" si="459"/>
        <v>최종 보스 : 빛을 향해 달리는 그림자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460"/>
        <v>9791166067563</v>
      </c>
      <c r="AV3119" t="str">
        <f t="shared" si="461"/>
        <v>판타지 웹소설 &gt; 현대 판타지</v>
      </c>
    </row>
    <row r="3120" spans="1:48" x14ac:dyDescent="0.4">
      <c r="A3120">
        <v>2313011400</v>
      </c>
      <c r="B3120">
        <v>2313011554</v>
      </c>
      <c r="C3120" t="str">
        <f>T("최종 보스 8권 6화")</f>
        <v>최종 보스 8권 6화</v>
      </c>
      <c r="D3120" t="str">
        <f>T("155")</f>
        <v>155</v>
      </c>
      <c r="E3120" t="str">
        <f t="shared" si="458"/>
        <v>무장</v>
      </c>
      <c r="H3120" t="str">
        <f t="shared" si="450"/>
        <v>스토리위즈</v>
      </c>
      <c r="I3120" t="str">
        <f t="shared" si="459"/>
        <v>최종 보스 : 빛을 향해 달리는 그림자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460"/>
        <v>9791166067563</v>
      </c>
      <c r="AV3120" t="str">
        <f t="shared" si="461"/>
        <v>판타지 웹소설 &gt; 현대 판타지</v>
      </c>
    </row>
    <row r="3121" spans="1:48" x14ac:dyDescent="0.4">
      <c r="A3121">
        <v>2313011400</v>
      </c>
      <c r="B3121">
        <v>2313011555</v>
      </c>
      <c r="C3121" t="str">
        <f>T("최종 보스 8권 7화")</f>
        <v>최종 보스 8권 7화</v>
      </c>
      <c r="D3121" t="str">
        <f>T("156")</f>
        <v>156</v>
      </c>
      <c r="E3121" t="str">
        <f t="shared" si="458"/>
        <v>무장</v>
      </c>
      <c r="H3121" t="str">
        <f t="shared" si="450"/>
        <v>스토리위즈</v>
      </c>
      <c r="I3121" t="str">
        <f t="shared" si="459"/>
        <v>최종 보스 : 빛을 향해 달리는 그림자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460"/>
        <v>9791166067563</v>
      </c>
      <c r="AV3121" t="str">
        <f t="shared" si="461"/>
        <v>판타지 웹소설 &gt; 현대 판타지</v>
      </c>
    </row>
    <row r="3122" spans="1:48" x14ac:dyDescent="0.4">
      <c r="A3122">
        <v>2313011400</v>
      </c>
      <c r="B3122">
        <v>2313011556</v>
      </c>
      <c r="C3122" t="str">
        <f>T("최종 보스 8권 8화")</f>
        <v>최종 보스 8권 8화</v>
      </c>
      <c r="D3122" t="str">
        <f>T("157")</f>
        <v>157</v>
      </c>
      <c r="E3122" t="str">
        <f t="shared" si="458"/>
        <v>무장</v>
      </c>
      <c r="H3122" t="str">
        <f t="shared" si="450"/>
        <v>스토리위즈</v>
      </c>
      <c r="I3122" t="str">
        <f t="shared" si="459"/>
        <v>최종 보스 : 빛을 향해 달리는 그림자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460"/>
        <v>9791166067563</v>
      </c>
      <c r="AV3122" t="str">
        <f t="shared" si="461"/>
        <v>판타지 웹소설 &gt; 현대 판타지</v>
      </c>
    </row>
    <row r="3123" spans="1:48" x14ac:dyDescent="0.4">
      <c r="A3123">
        <v>2313011400</v>
      </c>
      <c r="B3123">
        <v>2313011557</v>
      </c>
      <c r="C3123" t="str">
        <f>T("최종 보스 8권 9화")</f>
        <v>최종 보스 8권 9화</v>
      </c>
      <c r="D3123" t="str">
        <f>T("158")</f>
        <v>158</v>
      </c>
      <c r="E3123" t="str">
        <f t="shared" si="458"/>
        <v>무장</v>
      </c>
      <c r="H3123" t="str">
        <f t="shared" si="450"/>
        <v>스토리위즈</v>
      </c>
      <c r="I3123" t="str">
        <f t="shared" si="459"/>
        <v>최종 보스 : 빛을 향해 달리는 그림자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460"/>
        <v>9791166067563</v>
      </c>
      <c r="AV3123" t="str">
        <f t="shared" si="461"/>
        <v>판타지 웹소설 &gt; 현대 판타지</v>
      </c>
    </row>
    <row r="3124" spans="1:48" x14ac:dyDescent="0.4">
      <c r="A3124">
        <v>2313011400</v>
      </c>
      <c r="B3124">
        <v>2313011558</v>
      </c>
      <c r="C3124" t="str">
        <f>T("최종 보스 8권 10화")</f>
        <v>최종 보스 8권 10화</v>
      </c>
      <c r="D3124" t="str">
        <f>T("159")</f>
        <v>159</v>
      </c>
      <c r="E3124" t="str">
        <f t="shared" si="458"/>
        <v>무장</v>
      </c>
      <c r="H3124" t="str">
        <f t="shared" si="450"/>
        <v>스토리위즈</v>
      </c>
      <c r="I3124" t="str">
        <f t="shared" si="459"/>
        <v>최종 보스 : 빛을 향해 달리는 그림자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460"/>
        <v>9791166067563</v>
      </c>
      <c r="AV3124" t="str">
        <f t="shared" si="461"/>
        <v>판타지 웹소설 &gt; 현대 판타지</v>
      </c>
    </row>
    <row r="3125" spans="1:48" x14ac:dyDescent="0.4">
      <c r="A3125">
        <v>2313011400</v>
      </c>
      <c r="B3125">
        <v>2313011559</v>
      </c>
      <c r="C3125" t="str">
        <f>T("최종 보스 8권 11화")</f>
        <v>최종 보스 8권 11화</v>
      </c>
      <c r="D3125" t="str">
        <f>T("160")</f>
        <v>160</v>
      </c>
      <c r="E3125" t="str">
        <f t="shared" si="458"/>
        <v>무장</v>
      </c>
      <c r="H3125" t="str">
        <f t="shared" si="450"/>
        <v>스토리위즈</v>
      </c>
      <c r="I3125" t="str">
        <f t="shared" si="459"/>
        <v>최종 보스 : 빛을 향해 달리는 그림자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460"/>
        <v>9791166067563</v>
      </c>
      <c r="AV3125" t="str">
        <f t="shared" si="461"/>
        <v>판타지 웹소설 &gt; 현대 판타지</v>
      </c>
    </row>
    <row r="3126" spans="1:48" x14ac:dyDescent="0.4">
      <c r="A3126">
        <v>2313011400</v>
      </c>
      <c r="B3126">
        <v>2313011560</v>
      </c>
      <c r="C3126" t="str">
        <f>T("최종 보스 8권 12화")</f>
        <v>최종 보스 8권 12화</v>
      </c>
      <c r="D3126" t="str">
        <f>T("161")</f>
        <v>161</v>
      </c>
      <c r="E3126" t="str">
        <f t="shared" si="458"/>
        <v>무장</v>
      </c>
      <c r="H3126" t="str">
        <f t="shared" si="450"/>
        <v>스토리위즈</v>
      </c>
      <c r="I3126" t="str">
        <f t="shared" si="459"/>
        <v>최종 보스 : 빛을 향해 달리는 그림자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460"/>
        <v>9791166067563</v>
      </c>
      <c r="AV3126" t="str">
        <f t="shared" si="461"/>
        <v>판타지 웹소설 &gt; 현대 판타지</v>
      </c>
    </row>
    <row r="3127" spans="1:48" x14ac:dyDescent="0.4">
      <c r="A3127">
        <v>2313011400</v>
      </c>
      <c r="B3127">
        <v>2313011561</v>
      </c>
      <c r="C3127" t="str">
        <f>T("최종 보스 8권 13화")</f>
        <v>최종 보스 8권 13화</v>
      </c>
      <c r="D3127" t="str">
        <f>T("162")</f>
        <v>162</v>
      </c>
      <c r="E3127" t="str">
        <f t="shared" si="458"/>
        <v>무장</v>
      </c>
      <c r="H3127" t="str">
        <f t="shared" si="450"/>
        <v>스토리위즈</v>
      </c>
      <c r="I3127" t="str">
        <f t="shared" si="459"/>
        <v>최종 보스 : 빛을 향해 달리는 그림자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460"/>
        <v>9791166067563</v>
      </c>
      <c r="AV3127" t="str">
        <f t="shared" si="461"/>
        <v>판타지 웹소설 &gt; 현대 판타지</v>
      </c>
    </row>
    <row r="3128" spans="1:48" x14ac:dyDescent="0.4">
      <c r="A3128">
        <v>2313011400</v>
      </c>
      <c r="B3128">
        <v>2313011562</v>
      </c>
      <c r="C3128" t="str">
        <f>T("최종 보스 8권 14화")</f>
        <v>최종 보스 8권 14화</v>
      </c>
      <c r="D3128" t="str">
        <f>T("163")</f>
        <v>163</v>
      </c>
      <c r="E3128" t="str">
        <f t="shared" si="458"/>
        <v>무장</v>
      </c>
      <c r="H3128" t="str">
        <f t="shared" si="450"/>
        <v>스토리위즈</v>
      </c>
      <c r="I3128" t="str">
        <f t="shared" si="459"/>
        <v>최종 보스 : 빛을 향해 달리는 그림자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460"/>
        <v>9791166067563</v>
      </c>
      <c r="AV3128" t="str">
        <f t="shared" si="461"/>
        <v>판타지 웹소설 &gt; 현대 판타지</v>
      </c>
    </row>
    <row r="3129" spans="1:48" x14ac:dyDescent="0.4">
      <c r="A3129">
        <v>2313011400</v>
      </c>
      <c r="B3129">
        <v>2313011563</v>
      </c>
      <c r="C3129" t="str">
        <f>T("최종 보스 8권 15화")</f>
        <v>최종 보스 8권 15화</v>
      </c>
      <c r="D3129" t="str">
        <f>T("164")</f>
        <v>164</v>
      </c>
      <c r="E3129" t="str">
        <f t="shared" si="458"/>
        <v>무장</v>
      </c>
      <c r="H3129" t="str">
        <f t="shared" ref="H3129:H3192" si="462">T("스토리위즈")</f>
        <v>스토리위즈</v>
      </c>
      <c r="I3129" t="str">
        <f t="shared" si="459"/>
        <v>최종 보스 : 빛을 향해 달리는 그림자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460"/>
        <v>9791166067563</v>
      </c>
      <c r="AV3129" t="str">
        <f t="shared" si="461"/>
        <v>판타지 웹소설 &gt; 현대 판타지</v>
      </c>
    </row>
    <row r="3130" spans="1:48" x14ac:dyDescent="0.4">
      <c r="A3130">
        <v>2313011400</v>
      </c>
      <c r="B3130">
        <v>2313011564</v>
      </c>
      <c r="C3130" t="str">
        <f>T("최종 보스 8권 16화")</f>
        <v>최종 보스 8권 16화</v>
      </c>
      <c r="D3130" t="str">
        <f>T("165")</f>
        <v>165</v>
      </c>
      <c r="E3130" t="str">
        <f t="shared" si="458"/>
        <v>무장</v>
      </c>
      <c r="H3130" t="str">
        <f t="shared" si="462"/>
        <v>스토리위즈</v>
      </c>
      <c r="I3130" t="str">
        <f t="shared" si="459"/>
        <v>최종 보스 : 빛을 향해 달리는 그림자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460"/>
        <v>9791166067563</v>
      </c>
      <c r="AV3130" t="str">
        <f t="shared" si="461"/>
        <v>판타지 웹소설 &gt; 현대 판타지</v>
      </c>
    </row>
    <row r="3131" spans="1:48" x14ac:dyDescent="0.4">
      <c r="A3131">
        <v>2313011400</v>
      </c>
      <c r="B3131">
        <v>2313011565</v>
      </c>
      <c r="C3131" t="str">
        <f>T("최종 보스 8권 17화")</f>
        <v>최종 보스 8권 17화</v>
      </c>
      <c r="D3131" t="str">
        <f>T("166")</f>
        <v>166</v>
      </c>
      <c r="E3131" t="str">
        <f t="shared" si="458"/>
        <v>무장</v>
      </c>
      <c r="H3131" t="str">
        <f t="shared" si="462"/>
        <v>스토리위즈</v>
      </c>
      <c r="I3131" t="str">
        <f t="shared" si="459"/>
        <v>최종 보스 : 빛을 향해 달리는 그림자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460"/>
        <v>9791166067563</v>
      </c>
      <c r="AV3131" t="str">
        <f t="shared" si="461"/>
        <v>판타지 웹소설 &gt; 현대 판타지</v>
      </c>
    </row>
    <row r="3132" spans="1:48" x14ac:dyDescent="0.4">
      <c r="A3132">
        <v>2313011400</v>
      </c>
      <c r="B3132">
        <v>2313011566</v>
      </c>
      <c r="C3132" t="str">
        <f>T("최종 보스 8권 18화")</f>
        <v>최종 보스 8권 18화</v>
      </c>
      <c r="D3132" t="str">
        <f>T("167")</f>
        <v>167</v>
      </c>
      <c r="E3132" t="str">
        <f t="shared" si="458"/>
        <v>무장</v>
      </c>
      <c r="H3132" t="str">
        <f t="shared" si="462"/>
        <v>스토리위즈</v>
      </c>
      <c r="I3132" t="str">
        <f t="shared" si="459"/>
        <v>최종 보스 : 빛을 향해 달리는 그림자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460"/>
        <v>9791166067563</v>
      </c>
      <c r="AV3132" t="str">
        <f t="shared" si="461"/>
        <v>판타지 웹소설 &gt; 현대 판타지</v>
      </c>
    </row>
    <row r="3133" spans="1:48" x14ac:dyDescent="0.4">
      <c r="A3133">
        <v>2313011400</v>
      </c>
      <c r="B3133">
        <v>2313011567</v>
      </c>
      <c r="C3133" t="str">
        <f>T("최종 보스 8권 19화")</f>
        <v>최종 보스 8권 19화</v>
      </c>
      <c r="D3133" t="str">
        <f>T("168")</f>
        <v>168</v>
      </c>
      <c r="E3133" t="str">
        <f t="shared" si="458"/>
        <v>무장</v>
      </c>
      <c r="H3133" t="str">
        <f t="shared" si="462"/>
        <v>스토리위즈</v>
      </c>
      <c r="I3133" t="str">
        <f t="shared" si="459"/>
        <v>최종 보스 : 빛을 향해 달리는 그림자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460"/>
        <v>9791166067563</v>
      </c>
      <c r="AV3133" t="str">
        <f t="shared" si="461"/>
        <v>판타지 웹소설 &gt; 현대 판타지</v>
      </c>
    </row>
    <row r="3134" spans="1:48" x14ac:dyDescent="0.4">
      <c r="A3134">
        <v>2313011400</v>
      </c>
      <c r="B3134">
        <v>2313011569</v>
      </c>
      <c r="C3134" t="str">
        <f>T("최종 보스 8권 21화")</f>
        <v>최종 보스 8권 21화</v>
      </c>
      <c r="D3134" t="str">
        <f>T("170")</f>
        <v>170</v>
      </c>
      <c r="E3134" t="str">
        <f t="shared" si="458"/>
        <v>무장</v>
      </c>
      <c r="H3134" t="str">
        <f t="shared" si="462"/>
        <v>스토리위즈</v>
      </c>
      <c r="I3134" t="str">
        <f t="shared" si="459"/>
        <v>최종 보스 : 빛을 향해 달리는 그림자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460"/>
        <v>9791166067563</v>
      </c>
      <c r="AV3134" t="str">
        <f t="shared" si="461"/>
        <v>판타지 웹소설 &gt; 현대 판타지</v>
      </c>
    </row>
    <row r="3135" spans="1:48" x14ac:dyDescent="0.4">
      <c r="A3135">
        <v>2313011400</v>
      </c>
      <c r="B3135">
        <v>2313011570</v>
      </c>
      <c r="C3135" t="str">
        <f>T("최종 보스 9권 1화")</f>
        <v>최종 보스 9권 1화</v>
      </c>
      <c r="D3135" t="str">
        <f>T("171")</f>
        <v>171</v>
      </c>
      <c r="E3135" t="str">
        <f t="shared" si="458"/>
        <v>무장</v>
      </c>
      <c r="H3135" t="str">
        <f t="shared" si="462"/>
        <v>스토리위즈</v>
      </c>
      <c r="I3135" t="str">
        <f t="shared" si="459"/>
        <v>최종 보스 : 빛을 향해 달리는 그림자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460"/>
        <v>9791166067563</v>
      </c>
      <c r="AV3135" t="str">
        <f t="shared" si="461"/>
        <v>판타지 웹소설 &gt; 현대 판타지</v>
      </c>
    </row>
    <row r="3136" spans="1:48" x14ac:dyDescent="0.4">
      <c r="A3136">
        <v>2313011400</v>
      </c>
      <c r="B3136">
        <v>2313011571</v>
      </c>
      <c r="C3136" t="str">
        <f>T("최종 보스 9권 2화")</f>
        <v>최종 보스 9권 2화</v>
      </c>
      <c r="D3136" t="str">
        <f>T("172")</f>
        <v>172</v>
      </c>
      <c r="E3136" t="str">
        <f t="shared" si="458"/>
        <v>무장</v>
      </c>
      <c r="H3136" t="str">
        <f t="shared" si="462"/>
        <v>스토리위즈</v>
      </c>
      <c r="I3136" t="str">
        <f t="shared" si="459"/>
        <v>최종 보스 : 빛을 향해 달리는 그림자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460"/>
        <v>9791166067563</v>
      </c>
      <c r="AV3136" t="str">
        <f t="shared" si="461"/>
        <v>판타지 웹소설 &gt; 현대 판타지</v>
      </c>
    </row>
    <row r="3137" spans="1:48" x14ac:dyDescent="0.4">
      <c r="A3137">
        <v>2313011400</v>
      </c>
      <c r="B3137">
        <v>2313011572</v>
      </c>
      <c r="C3137" t="str">
        <f>T("최종 보스 9권 3화")</f>
        <v>최종 보스 9권 3화</v>
      </c>
      <c r="D3137" t="str">
        <f>T("173")</f>
        <v>173</v>
      </c>
      <c r="E3137" t="str">
        <f t="shared" si="458"/>
        <v>무장</v>
      </c>
      <c r="H3137" t="str">
        <f t="shared" si="462"/>
        <v>스토리위즈</v>
      </c>
      <c r="I3137" t="str">
        <f t="shared" si="459"/>
        <v>최종 보스 : 빛을 향해 달리는 그림자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460"/>
        <v>9791166067563</v>
      </c>
      <c r="AV3137" t="str">
        <f t="shared" si="461"/>
        <v>판타지 웹소설 &gt; 현대 판타지</v>
      </c>
    </row>
    <row r="3138" spans="1:48" x14ac:dyDescent="0.4">
      <c r="A3138">
        <v>2313011400</v>
      </c>
      <c r="B3138">
        <v>2313011573</v>
      </c>
      <c r="C3138" t="str">
        <f>T("최종 보스 9권 4화")</f>
        <v>최종 보스 9권 4화</v>
      </c>
      <c r="D3138" t="str">
        <f>T("174")</f>
        <v>174</v>
      </c>
      <c r="E3138" t="str">
        <f t="shared" si="458"/>
        <v>무장</v>
      </c>
      <c r="H3138" t="str">
        <f t="shared" si="462"/>
        <v>스토리위즈</v>
      </c>
      <c r="I3138" t="str">
        <f t="shared" si="459"/>
        <v>최종 보스 : 빛을 향해 달리는 그림자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460"/>
        <v>9791166067563</v>
      </c>
      <c r="AV3138" t="str">
        <f t="shared" si="461"/>
        <v>판타지 웹소설 &gt; 현대 판타지</v>
      </c>
    </row>
    <row r="3139" spans="1:48" x14ac:dyDescent="0.4">
      <c r="A3139">
        <v>2313011400</v>
      </c>
      <c r="B3139">
        <v>2313011574</v>
      </c>
      <c r="C3139" t="str">
        <f>T("최종 보스 9권 5화")</f>
        <v>최종 보스 9권 5화</v>
      </c>
      <c r="D3139" t="str">
        <f>T("175")</f>
        <v>175</v>
      </c>
      <c r="E3139" t="str">
        <f t="shared" si="458"/>
        <v>무장</v>
      </c>
      <c r="H3139" t="str">
        <f t="shared" si="462"/>
        <v>스토리위즈</v>
      </c>
      <c r="I3139" t="str">
        <f t="shared" si="459"/>
        <v>최종 보스 : 빛을 향해 달리는 그림자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460"/>
        <v>9791166067563</v>
      </c>
      <c r="AV3139" t="str">
        <f t="shared" si="461"/>
        <v>판타지 웹소설 &gt; 현대 판타지</v>
      </c>
    </row>
    <row r="3140" spans="1:48" x14ac:dyDescent="0.4">
      <c r="A3140">
        <v>2313011400</v>
      </c>
      <c r="B3140">
        <v>2313011575</v>
      </c>
      <c r="C3140" t="str">
        <f>T("최종 보스 9권 6화")</f>
        <v>최종 보스 9권 6화</v>
      </c>
      <c r="D3140" t="str">
        <f>T("176")</f>
        <v>176</v>
      </c>
      <c r="E3140" t="str">
        <f t="shared" si="458"/>
        <v>무장</v>
      </c>
      <c r="H3140" t="str">
        <f t="shared" si="462"/>
        <v>스토리위즈</v>
      </c>
      <c r="I3140" t="str">
        <f t="shared" si="459"/>
        <v>최종 보스 : 빛을 향해 달리는 그림자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460"/>
        <v>9791166067563</v>
      </c>
      <c r="AV3140" t="str">
        <f t="shared" si="461"/>
        <v>판타지 웹소설 &gt; 현대 판타지</v>
      </c>
    </row>
    <row r="3141" spans="1:48" x14ac:dyDescent="0.4">
      <c r="A3141">
        <v>2313011400</v>
      </c>
      <c r="B3141">
        <v>2313011576</v>
      </c>
      <c r="C3141" t="str">
        <f>T("최종 보스 9권 7화")</f>
        <v>최종 보스 9권 7화</v>
      </c>
      <c r="D3141" t="str">
        <f>T("177")</f>
        <v>177</v>
      </c>
      <c r="E3141" t="str">
        <f t="shared" si="458"/>
        <v>무장</v>
      </c>
      <c r="H3141" t="str">
        <f t="shared" si="462"/>
        <v>스토리위즈</v>
      </c>
      <c r="I3141" t="str">
        <f t="shared" si="459"/>
        <v>최종 보스 : 빛을 향해 달리는 그림자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460"/>
        <v>9791166067563</v>
      </c>
      <c r="AV3141" t="str">
        <f t="shared" si="461"/>
        <v>판타지 웹소설 &gt; 현대 판타지</v>
      </c>
    </row>
    <row r="3142" spans="1:48" x14ac:dyDescent="0.4">
      <c r="A3142">
        <v>2313011400</v>
      </c>
      <c r="B3142">
        <v>2313011577</v>
      </c>
      <c r="C3142" t="str">
        <f>T("최종 보스 9권 8화")</f>
        <v>최종 보스 9권 8화</v>
      </c>
      <c r="D3142" t="str">
        <f>T("178")</f>
        <v>178</v>
      </c>
      <c r="E3142" t="str">
        <f t="shared" si="458"/>
        <v>무장</v>
      </c>
      <c r="H3142" t="str">
        <f t="shared" si="462"/>
        <v>스토리위즈</v>
      </c>
      <c r="I3142" t="str">
        <f t="shared" si="459"/>
        <v>최종 보스 : 빛을 향해 달리는 그림자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460"/>
        <v>9791166067563</v>
      </c>
      <c r="AV3142" t="str">
        <f t="shared" si="461"/>
        <v>판타지 웹소설 &gt; 현대 판타지</v>
      </c>
    </row>
    <row r="3143" spans="1:48" x14ac:dyDescent="0.4">
      <c r="A3143">
        <v>2313011400</v>
      </c>
      <c r="B3143">
        <v>2313011578</v>
      </c>
      <c r="C3143" t="str">
        <f>T("최종 보스 9권 9화")</f>
        <v>최종 보스 9권 9화</v>
      </c>
      <c r="D3143" t="str">
        <f>T("179")</f>
        <v>179</v>
      </c>
      <c r="E3143" t="str">
        <f t="shared" si="458"/>
        <v>무장</v>
      </c>
      <c r="H3143" t="str">
        <f t="shared" si="462"/>
        <v>스토리위즈</v>
      </c>
      <c r="I3143" t="str">
        <f t="shared" si="459"/>
        <v>최종 보스 : 빛을 향해 달리는 그림자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460"/>
        <v>9791166067563</v>
      </c>
      <c r="AV3143" t="str">
        <f t="shared" si="461"/>
        <v>판타지 웹소설 &gt; 현대 판타지</v>
      </c>
    </row>
    <row r="3144" spans="1:48" x14ac:dyDescent="0.4">
      <c r="A3144">
        <v>2313011400</v>
      </c>
      <c r="B3144">
        <v>2313011579</v>
      </c>
      <c r="C3144" t="str">
        <f>T("최종 보스 9권 10화")</f>
        <v>최종 보스 9권 10화</v>
      </c>
      <c r="D3144" t="str">
        <f>T("180")</f>
        <v>180</v>
      </c>
      <c r="E3144" t="str">
        <f t="shared" si="458"/>
        <v>무장</v>
      </c>
      <c r="H3144" t="str">
        <f t="shared" si="462"/>
        <v>스토리위즈</v>
      </c>
      <c r="I3144" t="str">
        <f t="shared" si="459"/>
        <v>최종 보스 : 빛을 향해 달리는 그림자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460"/>
        <v>9791166067563</v>
      </c>
      <c r="AV3144" t="str">
        <f t="shared" si="461"/>
        <v>판타지 웹소설 &gt; 현대 판타지</v>
      </c>
    </row>
    <row r="3145" spans="1:48" x14ac:dyDescent="0.4">
      <c r="A3145">
        <v>2313011400</v>
      </c>
      <c r="B3145">
        <v>2313011580</v>
      </c>
      <c r="C3145" t="str">
        <f>T("최종 보스 9권 11화")</f>
        <v>최종 보스 9권 11화</v>
      </c>
      <c r="D3145" t="str">
        <f>T("181")</f>
        <v>181</v>
      </c>
      <c r="E3145" t="str">
        <f t="shared" si="458"/>
        <v>무장</v>
      </c>
      <c r="H3145" t="str">
        <f t="shared" si="462"/>
        <v>스토리위즈</v>
      </c>
      <c r="I3145" t="str">
        <f t="shared" si="459"/>
        <v>최종 보스 : 빛을 향해 달리는 그림자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460"/>
        <v>9791166067563</v>
      </c>
      <c r="AV3145" t="str">
        <f t="shared" si="461"/>
        <v>판타지 웹소설 &gt; 현대 판타지</v>
      </c>
    </row>
    <row r="3146" spans="1:48" x14ac:dyDescent="0.4">
      <c r="A3146">
        <v>2313011400</v>
      </c>
      <c r="B3146">
        <v>2313011581</v>
      </c>
      <c r="C3146" t="str">
        <f>T("최종 보스 9권 12화")</f>
        <v>최종 보스 9권 12화</v>
      </c>
      <c r="D3146" t="str">
        <f>T("182")</f>
        <v>182</v>
      </c>
      <c r="E3146" t="str">
        <f t="shared" si="458"/>
        <v>무장</v>
      </c>
      <c r="H3146" t="str">
        <f t="shared" si="462"/>
        <v>스토리위즈</v>
      </c>
      <c r="I3146" t="str">
        <f t="shared" si="459"/>
        <v>최종 보스 : 빛을 향해 달리는 그림자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460"/>
        <v>9791166067563</v>
      </c>
      <c r="AV3146" t="str">
        <f t="shared" si="461"/>
        <v>판타지 웹소설 &gt; 현대 판타지</v>
      </c>
    </row>
    <row r="3147" spans="1:48" x14ac:dyDescent="0.4">
      <c r="A3147">
        <v>2313011400</v>
      </c>
      <c r="B3147">
        <v>2313011582</v>
      </c>
      <c r="C3147" t="str">
        <f>T("최종 보스 9권 13화")</f>
        <v>최종 보스 9권 13화</v>
      </c>
      <c r="D3147" t="str">
        <f>T("183")</f>
        <v>183</v>
      </c>
      <c r="E3147" t="str">
        <f t="shared" si="458"/>
        <v>무장</v>
      </c>
      <c r="H3147" t="str">
        <f t="shared" si="462"/>
        <v>스토리위즈</v>
      </c>
      <c r="I3147" t="str">
        <f t="shared" si="459"/>
        <v>최종 보스 : 빛을 향해 달리는 그림자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460"/>
        <v>9791166067563</v>
      </c>
      <c r="AV3147" t="str">
        <f t="shared" si="461"/>
        <v>판타지 웹소설 &gt; 현대 판타지</v>
      </c>
    </row>
    <row r="3148" spans="1:48" x14ac:dyDescent="0.4">
      <c r="A3148">
        <v>2313011400</v>
      </c>
      <c r="B3148">
        <v>2313011583</v>
      </c>
      <c r="C3148" t="str">
        <f>T("최종 보스 9권 14화")</f>
        <v>최종 보스 9권 14화</v>
      </c>
      <c r="D3148" t="str">
        <f>T("184")</f>
        <v>184</v>
      </c>
      <c r="E3148" t="str">
        <f t="shared" si="458"/>
        <v>무장</v>
      </c>
      <c r="H3148" t="str">
        <f t="shared" si="462"/>
        <v>스토리위즈</v>
      </c>
      <c r="I3148" t="str">
        <f t="shared" si="459"/>
        <v>최종 보스 : 빛을 향해 달리는 그림자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460"/>
        <v>9791166067563</v>
      </c>
      <c r="AV3148" t="str">
        <f t="shared" si="461"/>
        <v>판타지 웹소설 &gt; 현대 판타지</v>
      </c>
    </row>
    <row r="3149" spans="1:48" x14ac:dyDescent="0.4">
      <c r="A3149">
        <v>2313011400</v>
      </c>
      <c r="B3149">
        <v>2313011584</v>
      </c>
      <c r="C3149" t="str">
        <f>T("최종 보스 9권 15화")</f>
        <v>최종 보스 9권 15화</v>
      </c>
      <c r="D3149" t="str">
        <f>T("185")</f>
        <v>185</v>
      </c>
      <c r="E3149" t="str">
        <f t="shared" si="458"/>
        <v>무장</v>
      </c>
      <c r="H3149" t="str">
        <f t="shared" si="462"/>
        <v>스토리위즈</v>
      </c>
      <c r="I3149" t="str">
        <f t="shared" si="459"/>
        <v>최종 보스 : 빛을 향해 달리는 그림자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460"/>
        <v>9791166067563</v>
      </c>
      <c r="AV3149" t="str">
        <f t="shared" si="461"/>
        <v>판타지 웹소설 &gt; 현대 판타지</v>
      </c>
    </row>
    <row r="3150" spans="1:48" x14ac:dyDescent="0.4">
      <c r="A3150">
        <v>2313011400</v>
      </c>
      <c r="B3150">
        <v>2313011585</v>
      </c>
      <c r="C3150" t="str">
        <f>T("최종 보스 9권 16화")</f>
        <v>최종 보스 9권 16화</v>
      </c>
      <c r="D3150" t="str">
        <f>T("186")</f>
        <v>186</v>
      </c>
      <c r="E3150" t="str">
        <f t="shared" si="458"/>
        <v>무장</v>
      </c>
      <c r="H3150" t="str">
        <f t="shared" si="462"/>
        <v>스토리위즈</v>
      </c>
      <c r="I3150" t="str">
        <f t="shared" si="459"/>
        <v>최종 보스 : 빛을 향해 달리는 그림자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460"/>
        <v>9791166067563</v>
      </c>
      <c r="AV3150" t="str">
        <f t="shared" si="461"/>
        <v>판타지 웹소설 &gt; 현대 판타지</v>
      </c>
    </row>
    <row r="3151" spans="1:48" x14ac:dyDescent="0.4">
      <c r="A3151">
        <v>2313011400</v>
      </c>
      <c r="B3151">
        <v>2313011586</v>
      </c>
      <c r="C3151" t="str">
        <f>T("최종 보스 9권 17화")</f>
        <v>최종 보스 9권 17화</v>
      </c>
      <c r="D3151" t="str">
        <f>T("187")</f>
        <v>187</v>
      </c>
      <c r="E3151" t="str">
        <f t="shared" si="458"/>
        <v>무장</v>
      </c>
      <c r="H3151" t="str">
        <f t="shared" si="462"/>
        <v>스토리위즈</v>
      </c>
      <c r="I3151" t="str">
        <f t="shared" si="459"/>
        <v>최종 보스 : 빛을 향해 달리는 그림자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460"/>
        <v>9791166067563</v>
      </c>
      <c r="AV3151" t="str">
        <f t="shared" si="461"/>
        <v>판타지 웹소설 &gt; 현대 판타지</v>
      </c>
    </row>
    <row r="3152" spans="1:48" x14ac:dyDescent="0.4">
      <c r="A3152">
        <v>2313011400</v>
      </c>
      <c r="B3152">
        <v>2313011587</v>
      </c>
      <c r="C3152" t="str">
        <f>T("최종 보스 9권 18화")</f>
        <v>최종 보스 9권 18화</v>
      </c>
      <c r="D3152" t="str">
        <f>T("188")</f>
        <v>188</v>
      </c>
      <c r="E3152" t="str">
        <f t="shared" si="458"/>
        <v>무장</v>
      </c>
      <c r="H3152" t="str">
        <f t="shared" si="462"/>
        <v>스토리위즈</v>
      </c>
      <c r="I3152" t="str">
        <f t="shared" si="459"/>
        <v>최종 보스 : 빛을 향해 달리는 그림자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460"/>
        <v>9791166067563</v>
      </c>
      <c r="AV3152" t="str">
        <f t="shared" si="461"/>
        <v>판타지 웹소설 &gt; 현대 판타지</v>
      </c>
    </row>
    <row r="3153" spans="1:48" x14ac:dyDescent="0.4">
      <c r="A3153">
        <v>2313011400</v>
      </c>
      <c r="B3153">
        <v>2313011588</v>
      </c>
      <c r="C3153" t="str">
        <f>T("최종 보스 9권 19화")</f>
        <v>최종 보스 9권 19화</v>
      </c>
      <c r="D3153" t="str">
        <f>T("189")</f>
        <v>189</v>
      </c>
      <c r="E3153" t="str">
        <f t="shared" si="458"/>
        <v>무장</v>
      </c>
      <c r="H3153" t="str">
        <f t="shared" si="462"/>
        <v>스토리위즈</v>
      </c>
      <c r="I3153" t="str">
        <f t="shared" si="459"/>
        <v>최종 보스 : 빛을 향해 달리는 그림자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460"/>
        <v>9791166067563</v>
      </c>
      <c r="AV3153" t="str">
        <f t="shared" si="461"/>
        <v>판타지 웹소설 &gt; 현대 판타지</v>
      </c>
    </row>
    <row r="3154" spans="1:48" x14ac:dyDescent="0.4">
      <c r="A3154">
        <v>2313011400</v>
      </c>
      <c r="B3154">
        <v>2313011589</v>
      </c>
      <c r="C3154" t="str">
        <f>T("최종 보스 9권 20화")</f>
        <v>최종 보스 9권 20화</v>
      </c>
      <c r="D3154" t="str">
        <f>T("190")</f>
        <v>190</v>
      </c>
      <c r="E3154" t="str">
        <f t="shared" si="458"/>
        <v>무장</v>
      </c>
      <c r="H3154" t="str">
        <f t="shared" si="462"/>
        <v>스토리위즈</v>
      </c>
      <c r="I3154" t="str">
        <f t="shared" si="459"/>
        <v>최종 보스 : 빛을 향해 달리는 그림자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460"/>
        <v>9791166067563</v>
      </c>
      <c r="AV3154" t="str">
        <f t="shared" si="461"/>
        <v>판타지 웹소설 &gt; 현대 판타지</v>
      </c>
    </row>
    <row r="3155" spans="1:48" x14ac:dyDescent="0.4">
      <c r="A3155">
        <v>2313011400</v>
      </c>
      <c r="B3155">
        <v>2313011590</v>
      </c>
      <c r="C3155" t="str">
        <f>T("최종 보스 10권 1화")</f>
        <v>최종 보스 10권 1화</v>
      </c>
      <c r="D3155" t="str">
        <f>T("191")</f>
        <v>191</v>
      </c>
      <c r="E3155" t="str">
        <f t="shared" ref="E3155:E3207" si="463">T("무장")</f>
        <v>무장</v>
      </c>
      <c r="H3155" t="str">
        <f t="shared" si="462"/>
        <v>스토리위즈</v>
      </c>
      <c r="I3155" t="str">
        <f t="shared" ref="I3155:I3205" si="464">T("최종 보스 : 빛을 향해 달리는 그림자")</f>
        <v>최종 보스 : 빛을 향해 달리는 그림자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ref="AT3155:AT3205" si="465">T("9791166067563")</f>
        <v>9791166067563</v>
      </c>
      <c r="AV3155" t="str">
        <f t="shared" ref="AV3155:AV3207" si="466">T("판타지 웹소설 &gt; 현대 판타지")</f>
        <v>판타지 웹소설 &gt; 현대 판타지</v>
      </c>
    </row>
    <row r="3156" spans="1:48" x14ac:dyDescent="0.4">
      <c r="A3156">
        <v>2313011400</v>
      </c>
      <c r="B3156">
        <v>2313011591</v>
      </c>
      <c r="C3156" t="str">
        <f>T("최종 보스 10권 2화")</f>
        <v>최종 보스 10권 2화</v>
      </c>
      <c r="D3156" t="str">
        <f>T("192")</f>
        <v>192</v>
      </c>
      <c r="E3156" t="str">
        <f t="shared" si="463"/>
        <v>무장</v>
      </c>
      <c r="H3156" t="str">
        <f t="shared" si="462"/>
        <v>스토리위즈</v>
      </c>
      <c r="I3156" t="str">
        <f t="shared" si="464"/>
        <v>최종 보스 : 빛을 향해 달리는 그림자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465"/>
        <v>9791166067563</v>
      </c>
      <c r="AV3156" t="str">
        <f t="shared" si="466"/>
        <v>판타지 웹소설 &gt; 현대 판타지</v>
      </c>
    </row>
    <row r="3157" spans="1:48" x14ac:dyDescent="0.4">
      <c r="A3157">
        <v>2313011400</v>
      </c>
      <c r="B3157">
        <v>2313011592</v>
      </c>
      <c r="C3157" t="str">
        <f>T("최종 보스 10권 3화")</f>
        <v>최종 보스 10권 3화</v>
      </c>
      <c r="D3157" t="str">
        <f>T("193")</f>
        <v>193</v>
      </c>
      <c r="E3157" t="str">
        <f t="shared" si="463"/>
        <v>무장</v>
      </c>
      <c r="H3157" t="str">
        <f t="shared" si="462"/>
        <v>스토리위즈</v>
      </c>
      <c r="I3157" t="str">
        <f t="shared" si="464"/>
        <v>최종 보스 : 빛을 향해 달리는 그림자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465"/>
        <v>9791166067563</v>
      </c>
      <c r="AV3157" t="str">
        <f t="shared" si="466"/>
        <v>판타지 웹소설 &gt; 현대 판타지</v>
      </c>
    </row>
    <row r="3158" spans="1:48" x14ac:dyDescent="0.4">
      <c r="A3158">
        <v>2313011400</v>
      </c>
      <c r="B3158">
        <v>2313011593</v>
      </c>
      <c r="C3158" t="str">
        <f>T("최종 보스 10권 4화")</f>
        <v>최종 보스 10권 4화</v>
      </c>
      <c r="D3158" t="str">
        <f>T("194")</f>
        <v>194</v>
      </c>
      <c r="E3158" t="str">
        <f t="shared" si="463"/>
        <v>무장</v>
      </c>
      <c r="H3158" t="str">
        <f t="shared" si="462"/>
        <v>스토리위즈</v>
      </c>
      <c r="I3158" t="str">
        <f t="shared" si="464"/>
        <v>최종 보스 : 빛을 향해 달리는 그림자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465"/>
        <v>9791166067563</v>
      </c>
      <c r="AV3158" t="str">
        <f t="shared" si="466"/>
        <v>판타지 웹소설 &gt; 현대 판타지</v>
      </c>
    </row>
    <row r="3159" spans="1:48" x14ac:dyDescent="0.4">
      <c r="A3159">
        <v>2313011400</v>
      </c>
      <c r="B3159">
        <v>2313011594</v>
      </c>
      <c r="C3159" t="str">
        <f>T("최종 보스 10권 5화")</f>
        <v>최종 보스 10권 5화</v>
      </c>
      <c r="D3159" t="str">
        <f>T("195")</f>
        <v>195</v>
      </c>
      <c r="E3159" t="str">
        <f t="shared" si="463"/>
        <v>무장</v>
      </c>
      <c r="H3159" t="str">
        <f t="shared" si="462"/>
        <v>스토리위즈</v>
      </c>
      <c r="I3159" t="str">
        <f t="shared" si="464"/>
        <v>최종 보스 : 빛을 향해 달리는 그림자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465"/>
        <v>9791166067563</v>
      </c>
      <c r="AV3159" t="str">
        <f t="shared" si="466"/>
        <v>판타지 웹소설 &gt; 현대 판타지</v>
      </c>
    </row>
    <row r="3160" spans="1:48" x14ac:dyDescent="0.4">
      <c r="A3160">
        <v>2313011400</v>
      </c>
      <c r="B3160">
        <v>2313011595</v>
      </c>
      <c r="C3160" t="str">
        <f>T("최종 보스 10권 6화")</f>
        <v>최종 보스 10권 6화</v>
      </c>
      <c r="D3160" t="str">
        <f>T("196")</f>
        <v>196</v>
      </c>
      <c r="E3160" t="str">
        <f t="shared" si="463"/>
        <v>무장</v>
      </c>
      <c r="H3160" t="str">
        <f t="shared" si="462"/>
        <v>스토리위즈</v>
      </c>
      <c r="I3160" t="str">
        <f t="shared" si="464"/>
        <v>최종 보스 : 빛을 향해 달리는 그림자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465"/>
        <v>9791166067563</v>
      </c>
      <c r="AV3160" t="str">
        <f t="shared" si="466"/>
        <v>판타지 웹소설 &gt; 현대 판타지</v>
      </c>
    </row>
    <row r="3161" spans="1:48" x14ac:dyDescent="0.4">
      <c r="A3161">
        <v>2313011400</v>
      </c>
      <c r="B3161">
        <v>2313011596</v>
      </c>
      <c r="C3161" t="str">
        <f>T("최종 보스 10권 7화")</f>
        <v>최종 보스 10권 7화</v>
      </c>
      <c r="D3161" t="str">
        <f>T("197")</f>
        <v>197</v>
      </c>
      <c r="E3161" t="str">
        <f t="shared" si="463"/>
        <v>무장</v>
      </c>
      <c r="H3161" t="str">
        <f t="shared" si="462"/>
        <v>스토리위즈</v>
      </c>
      <c r="I3161" t="str">
        <f t="shared" si="464"/>
        <v>최종 보스 : 빛을 향해 달리는 그림자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465"/>
        <v>9791166067563</v>
      </c>
      <c r="AV3161" t="str">
        <f t="shared" si="466"/>
        <v>판타지 웹소설 &gt; 현대 판타지</v>
      </c>
    </row>
    <row r="3162" spans="1:48" x14ac:dyDescent="0.4">
      <c r="A3162">
        <v>2313011400</v>
      </c>
      <c r="B3162">
        <v>2313011597</v>
      </c>
      <c r="C3162" t="str">
        <f>T("최종 보스 10권 8화")</f>
        <v>최종 보스 10권 8화</v>
      </c>
      <c r="D3162" t="str">
        <f>T("198")</f>
        <v>198</v>
      </c>
      <c r="E3162" t="str">
        <f t="shared" si="463"/>
        <v>무장</v>
      </c>
      <c r="H3162" t="str">
        <f t="shared" si="462"/>
        <v>스토리위즈</v>
      </c>
      <c r="I3162" t="str">
        <f t="shared" si="464"/>
        <v>최종 보스 : 빛을 향해 달리는 그림자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465"/>
        <v>9791166067563</v>
      </c>
      <c r="AV3162" t="str">
        <f t="shared" si="466"/>
        <v>판타지 웹소설 &gt; 현대 판타지</v>
      </c>
    </row>
    <row r="3163" spans="1:48" x14ac:dyDescent="0.4">
      <c r="A3163">
        <v>2313011400</v>
      </c>
      <c r="B3163">
        <v>2313011598</v>
      </c>
      <c r="C3163" t="str">
        <f>T("최종 보스 10권 9화")</f>
        <v>최종 보스 10권 9화</v>
      </c>
      <c r="D3163" t="str">
        <f>T("199")</f>
        <v>199</v>
      </c>
      <c r="E3163" t="str">
        <f t="shared" si="463"/>
        <v>무장</v>
      </c>
      <c r="H3163" t="str">
        <f t="shared" si="462"/>
        <v>스토리위즈</v>
      </c>
      <c r="I3163" t="str">
        <f t="shared" si="464"/>
        <v>최종 보스 : 빛을 향해 달리는 그림자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465"/>
        <v>9791166067563</v>
      </c>
      <c r="AV3163" t="str">
        <f t="shared" si="466"/>
        <v>판타지 웹소설 &gt; 현대 판타지</v>
      </c>
    </row>
    <row r="3164" spans="1:48" x14ac:dyDescent="0.4">
      <c r="A3164">
        <v>2313011400</v>
      </c>
      <c r="B3164">
        <v>2313011599</v>
      </c>
      <c r="C3164" t="str">
        <f>T("최종 보스 10권 10화")</f>
        <v>최종 보스 10권 10화</v>
      </c>
      <c r="D3164" t="str">
        <f>T("200")</f>
        <v>200</v>
      </c>
      <c r="E3164" t="str">
        <f t="shared" si="463"/>
        <v>무장</v>
      </c>
      <c r="H3164" t="str">
        <f t="shared" si="462"/>
        <v>스토리위즈</v>
      </c>
      <c r="I3164" t="str">
        <f t="shared" si="464"/>
        <v>최종 보스 : 빛을 향해 달리는 그림자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465"/>
        <v>9791166067563</v>
      </c>
      <c r="AV3164" t="str">
        <f t="shared" si="466"/>
        <v>판타지 웹소설 &gt; 현대 판타지</v>
      </c>
    </row>
    <row r="3165" spans="1:48" x14ac:dyDescent="0.4">
      <c r="A3165">
        <v>2313011400</v>
      </c>
      <c r="B3165">
        <v>2313011600</v>
      </c>
      <c r="C3165" t="str">
        <f>T("최종 보스 10권 11화")</f>
        <v>최종 보스 10권 11화</v>
      </c>
      <c r="D3165" t="str">
        <f>T("201")</f>
        <v>201</v>
      </c>
      <c r="E3165" t="str">
        <f t="shared" si="463"/>
        <v>무장</v>
      </c>
      <c r="H3165" t="str">
        <f t="shared" si="462"/>
        <v>스토리위즈</v>
      </c>
      <c r="I3165" t="str">
        <f t="shared" si="464"/>
        <v>최종 보스 : 빛을 향해 달리는 그림자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465"/>
        <v>9791166067563</v>
      </c>
      <c r="AV3165" t="str">
        <f t="shared" si="466"/>
        <v>판타지 웹소설 &gt; 현대 판타지</v>
      </c>
    </row>
    <row r="3166" spans="1:48" x14ac:dyDescent="0.4">
      <c r="A3166">
        <v>2313011400</v>
      </c>
      <c r="B3166">
        <v>2313011601</v>
      </c>
      <c r="C3166" t="str">
        <f>T("최종 보스 10권 12화")</f>
        <v>최종 보스 10권 12화</v>
      </c>
      <c r="D3166" t="str">
        <f>T("202")</f>
        <v>202</v>
      </c>
      <c r="E3166" t="str">
        <f t="shared" si="463"/>
        <v>무장</v>
      </c>
      <c r="H3166" t="str">
        <f t="shared" si="462"/>
        <v>스토리위즈</v>
      </c>
      <c r="I3166" t="str">
        <f t="shared" si="464"/>
        <v>최종 보스 : 빛을 향해 달리는 그림자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465"/>
        <v>9791166067563</v>
      </c>
      <c r="AV3166" t="str">
        <f t="shared" si="466"/>
        <v>판타지 웹소설 &gt; 현대 판타지</v>
      </c>
    </row>
    <row r="3167" spans="1:48" x14ac:dyDescent="0.4">
      <c r="A3167">
        <v>2313011400</v>
      </c>
      <c r="B3167">
        <v>2313011602</v>
      </c>
      <c r="C3167" t="str">
        <f>T("최종 보스 10권 13화")</f>
        <v>최종 보스 10권 13화</v>
      </c>
      <c r="D3167" t="str">
        <f>T("203")</f>
        <v>203</v>
      </c>
      <c r="E3167" t="str">
        <f t="shared" si="463"/>
        <v>무장</v>
      </c>
      <c r="H3167" t="str">
        <f t="shared" si="462"/>
        <v>스토리위즈</v>
      </c>
      <c r="I3167" t="str">
        <f t="shared" si="464"/>
        <v>최종 보스 : 빛을 향해 달리는 그림자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465"/>
        <v>9791166067563</v>
      </c>
      <c r="AV3167" t="str">
        <f t="shared" si="466"/>
        <v>판타지 웹소설 &gt; 현대 판타지</v>
      </c>
    </row>
    <row r="3168" spans="1:48" x14ac:dyDescent="0.4">
      <c r="A3168">
        <v>2313011400</v>
      </c>
      <c r="B3168">
        <v>2313011603</v>
      </c>
      <c r="C3168" t="str">
        <f>T("최종 보스 10권 14화")</f>
        <v>최종 보스 10권 14화</v>
      </c>
      <c r="D3168" t="str">
        <f>T("204")</f>
        <v>204</v>
      </c>
      <c r="E3168" t="str">
        <f t="shared" si="463"/>
        <v>무장</v>
      </c>
      <c r="H3168" t="str">
        <f t="shared" si="462"/>
        <v>스토리위즈</v>
      </c>
      <c r="I3168" t="str">
        <f t="shared" si="464"/>
        <v>최종 보스 : 빛을 향해 달리는 그림자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465"/>
        <v>9791166067563</v>
      </c>
      <c r="AV3168" t="str">
        <f t="shared" si="466"/>
        <v>판타지 웹소설 &gt; 현대 판타지</v>
      </c>
    </row>
    <row r="3169" spans="1:48" x14ac:dyDescent="0.4">
      <c r="A3169">
        <v>2313011400</v>
      </c>
      <c r="B3169">
        <v>2313011604</v>
      </c>
      <c r="C3169" t="str">
        <f>T("최종 보스 10권 15화")</f>
        <v>최종 보스 10권 15화</v>
      </c>
      <c r="D3169" t="str">
        <f>T("205")</f>
        <v>205</v>
      </c>
      <c r="E3169" t="str">
        <f t="shared" si="463"/>
        <v>무장</v>
      </c>
      <c r="H3169" t="str">
        <f t="shared" si="462"/>
        <v>스토리위즈</v>
      </c>
      <c r="I3169" t="str">
        <f t="shared" si="464"/>
        <v>최종 보스 : 빛을 향해 달리는 그림자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465"/>
        <v>9791166067563</v>
      </c>
      <c r="AV3169" t="str">
        <f t="shared" si="466"/>
        <v>판타지 웹소설 &gt; 현대 판타지</v>
      </c>
    </row>
    <row r="3170" spans="1:48" x14ac:dyDescent="0.4">
      <c r="A3170">
        <v>2313011400</v>
      </c>
      <c r="B3170">
        <v>2313011606</v>
      </c>
      <c r="C3170" t="str">
        <f>T("최종 보스 10권 17화")</f>
        <v>최종 보스 10권 17화</v>
      </c>
      <c r="D3170" t="str">
        <f>T("207")</f>
        <v>207</v>
      </c>
      <c r="E3170" t="str">
        <f t="shared" si="463"/>
        <v>무장</v>
      </c>
      <c r="H3170" t="str">
        <f t="shared" si="462"/>
        <v>스토리위즈</v>
      </c>
      <c r="I3170" t="str">
        <f t="shared" si="464"/>
        <v>최종 보스 : 빛을 향해 달리는 그림자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465"/>
        <v>9791166067563</v>
      </c>
      <c r="AV3170" t="str">
        <f t="shared" si="466"/>
        <v>판타지 웹소설 &gt; 현대 판타지</v>
      </c>
    </row>
    <row r="3171" spans="1:48" x14ac:dyDescent="0.4">
      <c r="A3171">
        <v>2313011400</v>
      </c>
      <c r="B3171">
        <v>2313011607</v>
      </c>
      <c r="C3171" t="str">
        <f>T("최종 보스 10권 18화")</f>
        <v>최종 보스 10권 18화</v>
      </c>
      <c r="D3171" t="str">
        <f>T("208")</f>
        <v>208</v>
      </c>
      <c r="E3171" t="str">
        <f t="shared" si="463"/>
        <v>무장</v>
      </c>
      <c r="H3171" t="str">
        <f t="shared" si="462"/>
        <v>스토리위즈</v>
      </c>
      <c r="I3171" t="str">
        <f t="shared" si="464"/>
        <v>최종 보스 : 빛을 향해 달리는 그림자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465"/>
        <v>9791166067563</v>
      </c>
      <c r="AV3171" t="str">
        <f t="shared" si="466"/>
        <v>판타지 웹소설 &gt; 현대 판타지</v>
      </c>
    </row>
    <row r="3172" spans="1:48" x14ac:dyDescent="0.4">
      <c r="A3172">
        <v>2313011400</v>
      </c>
      <c r="B3172">
        <v>2313011608</v>
      </c>
      <c r="C3172" t="str">
        <f>T("최종 보스 10권 19화")</f>
        <v>최종 보스 10권 19화</v>
      </c>
      <c r="D3172" t="str">
        <f>T("209")</f>
        <v>209</v>
      </c>
      <c r="E3172" t="str">
        <f t="shared" si="463"/>
        <v>무장</v>
      </c>
      <c r="H3172" t="str">
        <f t="shared" si="462"/>
        <v>스토리위즈</v>
      </c>
      <c r="I3172" t="str">
        <f t="shared" si="464"/>
        <v>최종 보스 : 빛을 향해 달리는 그림자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465"/>
        <v>9791166067563</v>
      </c>
      <c r="AV3172" t="str">
        <f t="shared" si="466"/>
        <v>판타지 웹소설 &gt; 현대 판타지</v>
      </c>
    </row>
    <row r="3173" spans="1:48" x14ac:dyDescent="0.4">
      <c r="A3173">
        <v>2313011400</v>
      </c>
      <c r="B3173">
        <v>2313011609</v>
      </c>
      <c r="C3173" t="str">
        <f>T("최종 보스 10권 20화")</f>
        <v>최종 보스 10권 20화</v>
      </c>
      <c r="D3173" t="str">
        <f>T("210")</f>
        <v>210</v>
      </c>
      <c r="E3173" t="str">
        <f t="shared" si="463"/>
        <v>무장</v>
      </c>
      <c r="H3173" t="str">
        <f t="shared" si="462"/>
        <v>스토리위즈</v>
      </c>
      <c r="I3173" t="str">
        <f t="shared" si="464"/>
        <v>최종 보스 : 빛을 향해 달리는 그림자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465"/>
        <v>9791166067563</v>
      </c>
      <c r="AV3173" t="str">
        <f t="shared" si="466"/>
        <v>판타지 웹소설 &gt; 현대 판타지</v>
      </c>
    </row>
    <row r="3174" spans="1:48" x14ac:dyDescent="0.4">
      <c r="A3174">
        <v>2313011400</v>
      </c>
      <c r="B3174">
        <v>2313011610</v>
      </c>
      <c r="C3174" t="str">
        <f>T("최종 보스 10권 21화")</f>
        <v>최종 보스 10권 21화</v>
      </c>
      <c r="D3174" t="str">
        <f>T("211")</f>
        <v>211</v>
      </c>
      <c r="E3174" t="str">
        <f t="shared" si="463"/>
        <v>무장</v>
      </c>
      <c r="H3174" t="str">
        <f t="shared" si="462"/>
        <v>스토리위즈</v>
      </c>
      <c r="I3174" t="str">
        <f t="shared" si="464"/>
        <v>최종 보스 : 빛을 향해 달리는 그림자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465"/>
        <v>9791166067563</v>
      </c>
      <c r="AV3174" t="str">
        <f t="shared" si="466"/>
        <v>판타지 웹소설 &gt; 현대 판타지</v>
      </c>
    </row>
    <row r="3175" spans="1:48" x14ac:dyDescent="0.4">
      <c r="A3175">
        <v>2313011400</v>
      </c>
      <c r="B3175">
        <v>2313011611</v>
      </c>
      <c r="C3175" t="str">
        <f>T("최종 보스 11권 1화")</f>
        <v>최종 보스 11권 1화</v>
      </c>
      <c r="D3175" t="str">
        <f>T("212")</f>
        <v>212</v>
      </c>
      <c r="E3175" t="str">
        <f t="shared" si="463"/>
        <v>무장</v>
      </c>
      <c r="H3175" t="str">
        <f t="shared" si="462"/>
        <v>스토리위즈</v>
      </c>
      <c r="I3175" t="str">
        <f t="shared" si="464"/>
        <v>최종 보스 : 빛을 향해 달리는 그림자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465"/>
        <v>9791166067563</v>
      </c>
      <c r="AV3175" t="str">
        <f t="shared" si="466"/>
        <v>판타지 웹소설 &gt; 현대 판타지</v>
      </c>
    </row>
    <row r="3176" spans="1:48" x14ac:dyDescent="0.4">
      <c r="A3176">
        <v>2313011400</v>
      </c>
      <c r="B3176">
        <v>2313011612</v>
      </c>
      <c r="C3176" t="str">
        <f>T("최종 보스 11권 2화")</f>
        <v>최종 보스 11권 2화</v>
      </c>
      <c r="D3176" t="str">
        <f>T("213")</f>
        <v>213</v>
      </c>
      <c r="E3176" t="str">
        <f t="shared" si="463"/>
        <v>무장</v>
      </c>
      <c r="H3176" t="str">
        <f t="shared" si="462"/>
        <v>스토리위즈</v>
      </c>
      <c r="I3176" t="str">
        <f t="shared" si="464"/>
        <v>최종 보스 : 빛을 향해 달리는 그림자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465"/>
        <v>9791166067563</v>
      </c>
      <c r="AV3176" t="str">
        <f t="shared" si="466"/>
        <v>판타지 웹소설 &gt; 현대 판타지</v>
      </c>
    </row>
    <row r="3177" spans="1:48" x14ac:dyDescent="0.4">
      <c r="A3177">
        <v>2313011400</v>
      </c>
      <c r="B3177">
        <v>2313011613</v>
      </c>
      <c r="C3177" t="str">
        <f>T("최종 보스 11권 3화")</f>
        <v>최종 보스 11권 3화</v>
      </c>
      <c r="D3177" t="str">
        <f>T("214")</f>
        <v>214</v>
      </c>
      <c r="E3177" t="str">
        <f t="shared" si="463"/>
        <v>무장</v>
      </c>
      <c r="H3177" t="str">
        <f t="shared" si="462"/>
        <v>스토리위즈</v>
      </c>
      <c r="I3177" t="str">
        <f t="shared" si="464"/>
        <v>최종 보스 : 빛을 향해 달리는 그림자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465"/>
        <v>9791166067563</v>
      </c>
      <c r="AV3177" t="str">
        <f t="shared" si="466"/>
        <v>판타지 웹소설 &gt; 현대 판타지</v>
      </c>
    </row>
    <row r="3178" spans="1:48" x14ac:dyDescent="0.4">
      <c r="A3178">
        <v>2313011400</v>
      </c>
      <c r="B3178">
        <v>2313011614</v>
      </c>
      <c r="C3178" t="str">
        <f>T("최종 보스 11권 4화")</f>
        <v>최종 보스 11권 4화</v>
      </c>
      <c r="D3178" t="str">
        <f>T("215")</f>
        <v>215</v>
      </c>
      <c r="E3178" t="str">
        <f t="shared" si="463"/>
        <v>무장</v>
      </c>
      <c r="H3178" t="str">
        <f t="shared" si="462"/>
        <v>스토리위즈</v>
      </c>
      <c r="I3178" t="str">
        <f t="shared" si="464"/>
        <v>최종 보스 : 빛을 향해 달리는 그림자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465"/>
        <v>9791166067563</v>
      </c>
      <c r="AV3178" t="str">
        <f t="shared" si="466"/>
        <v>판타지 웹소설 &gt; 현대 판타지</v>
      </c>
    </row>
    <row r="3179" spans="1:48" x14ac:dyDescent="0.4">
      <c r="A3179">
        <v>2313011400</v>
      </c>
      <c r="B3179">
        <v>2313011615</v>
      </c>
      <c r="C3179" t="str">
        <f>T("최종 보스 11권 5화")</f>
        <v>최종 보스 11권 5화</v>
      </c>
      <c r="D3179" t="str">
        <f>T("216")</f>
        <v>216</v>
      </c>
      <c r="E3179" t="str">
        <f t="shared" si="463"/>
        <v>무장</v>
      </c>
      <c r="H3179" t="str">
        <f t="shared" si="462"/>
        <v>스토리위즈</v>
      </c>
      <c r="I3179" t="str">
        <f t="shared" si="464"/>
        <v>최종 보스 : 빛을 향해 달리는 그림자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465"/>
        <v>9791166067563</v>
      </c>
      <c r="AV3179" t="str">
        <f t="shared" si="466"/>
        <v>판타지 웹소설 &gt; 현대 판타지</v>
      </c>
    </row>
    <row r="3180" spans="1:48" x14ac:dyDescent="0.4">
      <c r="A3180">
        <v>2313011400</v>
      </c>
      <c r="B3180">
        <v>2313011616</v>
      </c>
      <c r="C3180" t="str">
        <f>T("최종 보스 11권 6화")</f>
        <v>최종 보스 11권 6화</v>
      </c>
      <c r="D3180" t="str">
        <f>T("217")</f>
        <v>217</v>
      </c>
      <c r="E3180" t="str">
        <f t="shared" si="463"/>
        <v>무장</v>
      </c>
      <c r="H3180" t="str">
        <f t="shared" si="462"/>
        <v>스토리위즈</v>
      </c>
      <c r="I3180" t="str">
        <f t="shared" si="464"/>
        <v>최종 보스 : 빛을 향해 달리는 그림자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465"/>
        <v>9791166067563</v>
      </c>
      <c r="AV3180" t="str">
        <f t="shared" si="466"/>
        <v>판타지 웹소설 &gt; 현대 판타지</v>
      </c>
    </row>
    <row r="3181" spans="1:48" x14ac:dyDescent="0.4">
      <c r="A3181">
        <v>2313011400</v>
      </c>
      <c r="B3181">
        <v>2313011617</v>
      </c>
      <c r="C3181" t="str">
        <f>T("최종 보스 11권 7화")</f>
        <v>최종 보스 11권 7화</v>
      </c>
      <c r="D3181" t="str">
        <f>T("218")</f>
        <v>218</v>
      </c>
      <c r="E3181" t="str">
        <f t="shared" si="463"/>
        <v>무장</v>
      </c>
      <c r="H3181" t="str">
        <f t="shared" si="462"/>
        <v>스토리위즈</v>
      </c>
      <c r="I3181" t="str">
        <f t="shared" si="464"/>
        <v>최종 보스 : 빛을 향해 달리는 그림자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si="465"/>
        <v>9791166067563</v>
      </c>
      <c r="AV3181" t="str">
        <f t="shared" si="466"/>
        <v>판타지 웹소설 &gt; 현대 판타지</v>
      </c>
    </row>
    <row r="3182" spans="1:48" x14ac:dyDescent="0.4">
      <c r="A3182">
        <v>2313011400</v>
      </c>
      <c r="B3182">
        <v>2313011618</v>
      </c>
      <c r="C3182" t="str">
        <f>T("최종 보스 11권 8화")</f>
        <v>최종 보스 11권 8화</v>
      </c>
      <c r="D3182" t="str">
        <f>T("219")</f>
        <v>219</v>
      </c>
      <c r="E3182" t="str">
        <f t="shared" si="463"/>
        <v>무장</v>
      </c>
      <c r="H3182" t="str">
        <f t="shared" si="462"/>
        <v>스토리위즈</v>
      </c>
      <c r="I3182" t="str">
        <f t="shared" si="464"/>
        <v>최종 보스 : 빛을 향해 달리는 그림자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465"/>
        <v>9791166067563</v>
      </c>
      <c r="AV3182" t="str">
        <f t="shared" si="466"/>
        <v>판타지 웹소설 &gt; 현대 판타지</v>
      </c>
    </row>
    <row r="3183" spans="1:48" x14ac:dyDescent="0.4">
      <c r="A3183">
        <v>2313011400</v>
      </c>
      <c r="B3183">
        <v>2313011619</v>
      </c>
      <c r="C3183" t="str">
        <f>T("최종 보스 11권 9화")</f>
        <v>최종 보스 11권 9화</v>
      </c>
      <c r="D3183" t="str">
        <f>T("220")</f>
        <v>220</v>
      </c>
      <c r="E3183" t="str">
        <f t="shared" si="463"/>
        <v>무장</v>
      </c>
      <c r="H3183" t="str">
        <f t="shared" si="462"/>
        <v>스토리위즈</v>
      </c>
      <c r="I3183" t="str">
        <f t="shared" si="464"/>
        <v>최종 보스 : 빛을 향해 달리는 그림자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465"/>
        <v>9791166067563</v>
      </c>
      <c r="AV3183" t="str">
        <f t="shared" si="466"/>
        <v>판타지 웹소설 &gt; 현대 판타지</v>
      </c>
    </row>
    <row r="3184" spans="1:48" x14ac:dyDescent="0.4">
      <c r="A3184">
        <v>2313011400</v>
      </c>
      <c r="B3184">
        <v>2313011620</v>
      </c>
      <c r="C3184" t="str">
        <f>T("최종 보스 11권 10화")</f>
        <v>최종 보스 11권 10화</v>
      </c>
      <c r="D3184" t="str">
        <f>T("221")</f>
        <v>221</v>
      </c>
      <c r="E3184" t="str">
        <f t="shared" si="463"/>
        <v>무장</v>
      </c>
      <c r="H3184" t="str">
        <f t="shared" si="462"/>
        <v>스토리위즈</v>
      </c>
      <c r="I3184" t="str">
        <f t="shared" si="464"/>
        <v>최종 보스 : 빛을 향해 달리는 그림자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si="465"/>
        <v>9791166067563</v>
      </c>
      <c r="AV3184" t="str">
        <f t="shared" si="466"/>
        <v>판타지 웹소설 &gt; 현대 판타지</v>
      </c>
    </row>
    <row r="3185" spans="1:48" x14ac:dyDescent="0.4">
      <c r="A3185">
        <v>2313011400</v>
      </c>
      <c r="B3185">
        <v>2313011621</v>
      </c>
      <c r="C3185" t="str">
        <f>T("최종 보스 11권 11화")</f>
        <v>최종 보스 11권 11화</v>
      </c>
      <c r="D3185" t="str">
        <f>T("222")</f>
        <v>222</v>
      </c>
      <c r="E3185" t="str">
        <f t="shared" si="463"/>
        <v>무장</v>
      </c>
      <c r="H3185" t="str">
        <f t="shared" si="462"/>
        <v>스토리위즈</v>
      </c>
      <c r="I3185" t="str">
        <f t="shared" si="464"/>
        <v>최종 보스 : 빛을 향해 달리는 그림자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465"/>
        <v>9791166067563</v>
      </c>
      <c r="AV3185" t="str">
        <f t="shared" si="466"/>
        <v>판타지 웹소설 &gt; 현대 판타지</v>
      </c>
    </row>
    <row r="3186" spans="1:48" x14ac:dyDescent="0.4">
      <c r="A3186">
        <v>2313011400</v>
      </c>
      <c r="B3186">
        <v>2313011622</v>
      </c>
      <c r="C3186" t="str">
        <f>T("최종 보스 11권 12화")</f>
        <v>최종 보스 11권 12화</v>
      </c>
      <c r="D3186" t="str">
        <f>T("223")</f>
        <v>223</v>
      </c>
      <c r="E3186" t="str">
        <f t="shared" si="463"/>
        <v>무장</v>
      </c>
      <c r="H3186" t="str">
        <f t="shared" si="462"/>
        <v>스토리위즈</v>
      </c>
      <c r="I3186" t="str">
        <f t="shared" si="464"/>
        <v>최종 보스 : 빛을 향해 달리는 그림자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465"/>
        <v>9791166067563</v>
      </c>
      <c r="AV3186" t="str">
        <f t="shared" si="466"/>
        <v>판타지 웹소설 &gt; 현대 판타지</v>
      </c>
    </row>
    <row r="3187" spans="1:48" x14ac:dyDescent="0.4">
      <c r="A3187">
        <v>2313011400</v>
      </c>
      <c r="B3187">
        <v>2313011623</v>
      </c>
      <c r="C3187" t="str">
        <f>T("최종 보스 11권 13화")</f>
        <v>최종 보스 11권 13화</v>
      </c>
      <c r="D3187" t="str">
        <f>T("224")</f>
        <v>224</v>
      </c>
      <c r="E3187" t="str">
        <f t="shared" si="463"/>
        <v>무장</v>
      </c>
      <c r="H3187" t="str">
        <f t="shared" si="462"/>
        <v>스토리위즈</v>
      </c>
      <c r="I3187" t="str">
        <f t="shared" si="464"/>
        <v>최종 보스 : 빛을 향해 달리는 그림자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465"/>
        <v>9791166067563</v>
      </c>
      <c r="AV3187" t="str">
        <f t="shared" si="466"/>
        <v>판타지 웹소설 &gt; 현대 판타지</v>
      </c>
    </row>
    <row r="3188" spans="1:48" x14ac:dyDescent="0.4">
      <c r="A3188">
        <v>2313011400</v>
      </c>
      <c r="B3188">
        <v>2313011624</v>
      </c>
      <c r="C3188" t="str">
        <f>T("최종 보스 11권 14화")</f>
        <v>최종 보스 11권 14화</v>
      </c>
      <c r="D3188" t="str">
        <f>T("225")</f>
        <v>225</v>
      </c>
      <c r="E3188" t="str">
        <f t="shared" si="463"/>
        <v>무장</v>
      </c>
      <c r="H3188" t="str">
        <f t="shared" si="462"/>
        <v>스토리위즈</v>
      </c>
      <c r="I3188" t="str">
        <f t="shared" si="464"/>
        <v>최종 보스 : 빛을 향해 달리는 그림자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465"/>
        <v>9791166067563</v>
      </c>
      <c r="AV3188" t="str">
        <f t="shared" si="466"/>
        <v>판타지 웹소설 &gt; 현대 판타지</v>
      </c>
    </row>
    <row r="3189" spans="1:48" x14ac:dyDescent="0.4">
      <c r="A3189">
        <v>2313011400</v>
      </c>
      <c r="B3189">
        <v>2313011625</v>
      </c>
      <c r="C3189" t="str">
        <f>T("최종 보스 11권 15화")</f>
        <v>최종 보스 11권 15화</v>
      </c>
      <c r="D3189" t="str">
        <f>T("226")</f>
        <v>226</v>
      </c>
      <c r="E3189" t="str">
        <f t="shared" si="463"/>
        <v>무장</v>
      </c>
      <c r="H3189" t="str">
        <f t="shared" si="462"/>
        <v>스토리위즈</v>
      </c>
      <c r="I3189" t="str">
        <f t="shared" si="464"/>
        <v>최종 보스 : 빛을 향해 달리는 그림자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465"/>
        <v>9791166067563</v>
      </c>
      <c r="AV3189" t="str">
        <f t="shared" si="466"/>
        <v>판타지 웹소설 &gt; 현대 판타지</v>
      </c>
    </row>
    <row r="3190" spans="1:48" x14ac:dyDescent="0.4">
      <c r="A3190">
        <v>2313011400</v>
      </c>
      <c r="B3190">
        <v>2313011626</v>
      </c>
      <c r="C3190" t="str">
        <f>T("최종 보스 11권 16화")</f>
        <v>최종 보스 11권 16화</v>
      </c>
      <c r="D3190" t="str">
        <f>T("227")</f>
        <v>227</v>
      </c>
      <c r="E3190" t="str">
        <f t="shared" si="463"/>
        <v>무장</v>
      </c>
      <c r="H3190" t="str">
        <f t="shared" si="462"/>
        <v>스토리위즈</v>
      </c>
      <c r="I3190" t="str">
        <f t="shared" si="464"/>
        <v>최종 보스 : 빛을 향해 달리는 그림자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 t="shared" si="465"/>
        <v>9791166067563</v>
      </c>
      <c r="AV3190" t="str">
        <f t="shared" si="466"/>
        <v>판타지 웹소설 &gt; 현대 판타지</v>
      </c>
    </row>
    <row r="3191" spans="1:48" x14ac:dyDescent="0.4">
      <c r="A3191">
        <v>2313011400</v>
      </c>
      <c r="B3191">
        <v>2313011627</v>
      </c>
      <c r="C3191" t="str">
        <f>T("최종 보스 11권 17화")</f>
        <v>최종 보스 11권 17화</v>
      </c>
      <c r="D3191" t="str">
        <f>T("228")</f>
        <v>228</v>
      </c>
      <c r="E3191" t="str">
        <f t="shared" si="463"/>
        <v>무장</v>
      </c>
      <c r="H3191" t="str">
        <f t="shared" si="462"/>
        <v>스토리위즈</v>
      </c>
      <c r="I3191" t="str">
        <f t="shared" si="464"/>
        <v>최종 보스 : 빛을 향해 달리는 그림자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 t="shared" si="465"/>
        <v>9791166067563</v>
      </c>
      <c r="AV3191" t="str">
        <f t="shared" si="466"/>
        <v>판타지 웹소설 &gt; 현대 판타지</v>
      </c>
    </row>
    <row r="3192" spans="1:48" x14ac:dyDescent="0.4">
      <c r="A3192">
        <v>2313011400</v>
      </c>
      <c r="B3192">
        <v>2313011628</v>
      </c>
      <c r="C3192" t="str">
        <f>T("최종 보스 11권 18화")</f>
        <v>최종 보스 11권 18화</v>
      </c>
      <c r="D3192" t="str">
        <f>T("229")</f>
        <v>229</v>
      </c>
      <c r="E3192" t="str">
        <f t="shared" si="463"/>
        <v>무장</v>
      </c>
      <c r="H3192" t="str">
        <f t="shared" si="462"/>
        <v>스토리위즈</v>
      </c>
      <c r="I3192" t="str">
        <f t="shared" si="464"/>
        <v>최종 보스 : 빛을 향해 달리는 그림자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 t="shared" si="465"/>
        <v>9791166067563</v>
      </c>
      <c r="AV3192" t="str">
        <f t="shared" si="466"/>
        <v>판타지 웹소설 &gt; 현대 판타지</v>
      </c>
    </row>
    <row r="3193" spans="1:48" x14ac:dyDescent="0.4">
      <c r="A3193">
        <v>2313011400</v>
      </c>
      <c r="B3193">
        <v>2313011629</v>
      </c>
      <c r="C3193" t="str">
        <f>T("최종 보스 11권 19화")</f>
        <v>최종 보스 11권 19화</v>
      </c>
      <c r="D3193" t="str">
        <f>T("230")</f>
        <v>230</v>
      </c>
      <c r="E3193" t="str">
        <f t="shared" si="463"/>
        <v>무장</v>
      </c>
      <c r="H3193" t="str">
        <f t="shared" ref="H3193:H3256" si="467">T("스토리위즈")</f>
        <v>스토리위즈</v>
      </c>
      <c r="I3193" t="str">
        <f t="shared" si="464"/>
        <v>최종 보스 : 빛을 향해 달리는 그림자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 t="shared" si="465"/>
        <v>9791166067563</v>
      </c>
      <c r="AV3193" t="str">
        <f t="shared" si="466"/>
        <v>판타지 웹소설 &gt; 현대 판타지</v>
      </c>
    </row>
    <row r="3194" spans="1:48" x14ac:dyDescent="0.4">
      <c r="A3194">
        <v>2313011400</v>
      </c>
      <c r="B3194">
        <v>2313011630</v>
      </c>
      <c r="C3194" t="str">
        <f>T("최종 보스 11권 20화")</f>
        <v>최종 보스 11권 20화</v>
      </c>
      <c r="D3194" t="str">
        <f>T("231")</f>
        <v>231</v>
      </c>
      <c r="E3194" t="str">
        <f t="shared" si="463"/>
        <v>무장</v>
      </c>
      <c r="H3194" t="str">
        <f t="shared" si="467"/>
        <v>스토리위즈</v>
      </c>
      <c r="I3194" t="str">
        <f t="shared" si="464"/>
        <v>최종 보스 : 빛을 향해 달리는 그림자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 t="shared" si="465"/>
        <v>9791166067563</v>
      </c>
      <c r="AV3194" t="str">
        <f t="shared" si="466"/>
        <v>판타지 웹소설 &gt; 현대 판타지</v>
      </c>
    </row>
    <row r="3195" spans="1:48" x14ac:dyDescent="0.4">
      <c r="A3195">
        <v>2313011400</v>
      </c>
      <c r="B3195">
        <v>2313011631</v>
      </c>
      <c r="C3195" t="str">
        <f>T("최종 보스 11권 21화")</f>
        <v>최종 보스 11권 21화</v>
      </c>
      <c r="D3195" t="str">
        <f>T("232")</f>
        <v>232</v>
      </c>
      <c r="E3195" t="str">
        <f t="shared" si="463"/>
        <v>무장</v>
      </c>
      <c r="H3195" t="str">
        <f t="shared" si="467"/>
        <v>스토리위즈</v>
      </c>
      <c r="I3195" t="str">
        <f t="shared" si="464"/>
        <v>최종 보스 : 빛을 향해 달리는 그림자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 t="shared" si="465"/>
        <v>9791166067563</v>
      </c>
      <c r="AV3195" t="str">
        <f t="shared" si="466"/>
        <v>판타지 웹소설 &gt; 현대 판타지</v>
      </c>
    </row>
    <row r="3196" spans="1:48" x14ac:dyDescent="0.4">
      <c r="A3196">
        <v>2313011400</v>
      </c>
      <c r="B3196">
        <v>2313011632</v>
      </c>
      <c r="C3196" t="str">
        <f>T("최종 보스 12권 1화")</f>
        <v>최종 보스 12권 1화</v>
      </c>
      <c r="D3196" t="str">
        <f>T("233")</f>
        <v>233</v>
      </c>
      <c r="E3196" t="str">
        <f t="shared" si="463"/>
        <v>무장</v>
      </c>
      <c r="H3196" t="str">
        <f t="shared" si="467"/>
        <v>스토리위즈</v>
      </c>
      <c r="I3196" t="str">
        <f t="shared" si="464"/>
        <v>최종 보스 : 빛을 향해 달리는 그림자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 t="shared" si="465"/>
        <v>9791166067563</v>
      </c>
      <c r="AV3196" t="str">
        <f t="shared" si="466"/>
        <v>판타지 웹소설 &gt; 현대 판타지</v>
      </c>
    </row>
    <row r="3197" spans="1:48" x14ac:dyDescent="0.4">
      <c r="A3197">
        <v>2313011400</v>
      </c>
      <c r="B3197">
        <v>2313011633</v>
      </c>
      <c r="C3197" t="str">
        <f>T("최종 보스 12권 2화")</f>
        <v>최종 보스 12권 2화</v>
      </c>
      <c r="D3197" t="str">
        <f>T("234")</f>
        <v>234</v>
      </c>
      <c r="E3197" t="str">
        <f t="shared" si="463"/>
        <v>무장</v>
      </c>
      <c r="H3197" t="str">
        <f t="shared" si="467"/>
        <v>스토리위즈</v>
      </c>
      <c r="I3197" t="str">
        <f t="shared" si="464"/>
        <v>최종 보스 : 빛을 향해 달리는 그림자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 t="shared" si="465"/>
        <v>9791166067563</v>
      </c>
      <c r="AV3197" t="str">
        <f t="shared" si="466"/>
        <v>판타지 웹소설 &gt; 현대 판타지</v>
      </c>
    </row>
    <row r="3198" spans="1:48" x14ac:dyDescent="0.4">
      <c r="A3198">
        <v>2313011400</v>
      </c>
      <c r="B3198">
        <v>2313011634</v>
      </c>
      <c r="C3198" t="str">
        <f>T("최종 보스 12권 3화")</f>
        <v>최종 보스 12권 3화</v>
      </c>
      <c r="D3198" t="str">
        <f>T("235")</f>
        <v>235</v>
      </c>
      <c r="E3198" t="str">
        <f t="shared" si="463"/>
        <v>무장</v>
      </c>
      <c r="H3198" t="str">
        <f t="shared" si="467"/>
        <v>스토리위즈</v>
      </c>
      <c r="I3198" t="str">
        <f t="shared" si="464"/>
        <v>최종 보스 : 빛을 향해 달리는 그림자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 t="shared" si="465"/>
        <v>9791166067563</v>
      </c>
      <c r="AV3198" t="str">
        <f t="shared" si="466"/>
        <v>판타지 웹소설 &gt; 현대 판타지</v>
      </c>
    </row>
    <row r="3199" spans="1:48" x14ac:dyDescent="0.4">
      <c r="A3199">
        <v>2313011400</v>
      </c>
      <c r="B3199">
        <v>2313011636</v>
      </c>
      <c r="C3199" t="str">
        <f>T("최종 보스 12권 5화")</f>
        <v>최종 보스 12권 5화</v>
      </c>
      <c r="D3199" t="str">
        <f>T("237")</f>
        <v>237</v>
      </c>
      <c r="E3199" t="str">
        <f t="shared" si="463"/>
        <v>무장</v>
      </c>
      <c r="H3199" t="str">
        <f t="shared" si="467"/>
        <v>스토리위즈</v>
      </c>
      <c r="I3199" t="str">
        <f t="shared" si="464"/>
        <v>최종 보스 : 빛을 향해 달리는 그림자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 t="shared" si="465"/>
        <v>9791166067563</v>
      </c>
      <c r="AV3199" t="str">
        <f t="shared" si="466"/>
        <v>판타지 웹소설 &gt; 현대 판타지</v>
      </c>
    </row>
    <row r="3200" spans="1:48" x14ac:dyDescent="0.4">
      <c r="A3200">
        <v>2313011400</v>
      </c>
      <c r="B3200">
        <v>2313011637</v>
      </c>
      <c r="C3200" t="str">
        <f>T("최종 보스 12권 6화")</f>
        <v>최종 보스 12권 6화</v>
      </c>
      <c r="D3200" t="str">
        <f>T("238")</f>
        <v>238</v>
      </c>
      <c r="E3200" t="str">
        <f t="shared" si="463"/>
        <v>무장</v>
      </c>
      <c r="H3200" t="str">
        <f t="shared" si="467"/>
        <v>스토리위즈</v>
      </c>
      <c r="I3200" t="str">
        <f t="shared" si="464"/>
        <v>최종 보스 : 빛을 향해 달리는 그림자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 t="shared" si="465"/>
        <v>9791166067563</v>
      </c>
      <c r="AV3200" t="str">
        <f t="shared" si="466"/>
        <v>판타지 웹소설 &gt; 현대 판타지</v>
      </c>
    </row>
    <row r="3201" spans="1:48" x14ac:dyDescent="0.4">
      <c r="A3201">
        <v>2313011400</v>
      </c>
      <c r="B3201">
        <v>2313011638</v>
      </c>
      <c r="C3201" t="str">
        <f>T("최종 보스 12권 7화")</f>
        <v>최종 보스 12권 7화</v>
      </c>
      <c r="D3201" t="str">
        <f>T("239")</f>
        <v>239</v>
      </c>
      <c r="E3201" t="str">
        <f t="shared" si="463"/>
        <v>무장</v>
      </c>
      <c r="H3201" t="str">
        <f t="shared" si="467"/>
        <v>스토리위즈</v>
      </c>
      <c r="I3201" t="str">
        <f t="shared" si="464"/>
        <v>최종 보스 : 빛을 향해 달리는 그림자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 t="shared" si="465"/>
        <v>9791166067563</v>
      </c>
      <c r="AV3201" t="str">
        <f t="shared" si="466"/>
        <v>판타지 웹소설 &gt; 현대 판타지</v>
      </c>
    </row>
    <row r="3202" spans="1:48" x14ac:dyDescent="0.4">
      <c r="A3202">
        <v>2313011400</v>
      </c>
      <c r="B3202">
        <v>2313011639</v>
      </c>
      <c r="C3202" t="str">
        <f>T("최종 보스 12권 8화")</f>
        <v>최종 보스 12권 8화</v>
      </c>
      <c r="D3202" t="str">
        <f>T("240")</f>
        <v>240</v>
      </c>
      <c r="E3202" t="str">
        <f t="shared" si="463"/>
        <v>무장</v>
      </c>
      <c r="H3202" t="str">
        <f t="shared" si="467"/>
        <v>스토리위즈</v>
      </c>
      <c r="I3202" t="str">
        <f t="shared" si="464"/>
        <v>최종 보스 : 빛을 향해 달리는 그림자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 t="shared" si="465"/>
        <v>9791166067563</v>
      </c>
      <c r="AV3202" t="str">
        <f t="shared" si="466"/>
        <v>판타지 웹소설 &gt; 현대 판타지</v>
      </c>
    </row>
    <row r="3203" spans="1:48" x14ac:dyDescent="0.4">
      <c r="A3203">
        <v>2313011400</v>
      </c>
      <c r="B3203">
        <v>2313011640</v>
      </c>
      <c r="C3203" t="str">
        <f>T("최종 보스 12권 9화")</f>
        <v>최종 보스 12권 9화</v>
      </c>
      <c r="D3203" t="str">
        <f>T("241")</f>
        <v>241</v>
      </c>
      <c r="E3203" t="str">
        <f t="shared" si="463"/>
        <v>무장</v>
      </c>
      <c r="H3203" t="str">
        <f t="shared" si="467"/>
        <v>스토리위즈</v>
      </c>
      <c r="I3203" t="str">
        <f t="shared" si="464"/>
        <v>최종 보스 : 빛을 향해 달리는 그림자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 t="shared" si="465"/>
        <v>9791166067563</v>
      </c>
      <c r="AV3203" t="str">
        <f t="shared" si="466"/>
        <v>판타지 웹소설 &gt; 현대 판타지</v>
      </c>
    </row>
    <row r="3204" spans="1:48" x14ac:dyDescent="0.4">
      <c r="A3204">
        <v>2313011400</v>
      </c>
      <c r="B3204">
        <v>2313011641</v>
      </c>
      <c r="C3204" t="str">
        <f>T("최종 보스 12권 10화")</f>
        <v>최종 보스 12권 10화</v>
      </c>
      <c r="D3204" t="str">
        <f>T("242")</f>
        <v>242</v>
      </c>
      <c r="E3204" t="str">
        <f t="shared" si="463"/>
        <v>무장</v>
      </c>
      <c r="H3204" t="str">
        <f t="shared" si="467"/>
        <v>스토리위즈</v>
      </c>
      <c r="I3204" t="str">
        <f t="shared" si="464"/>
        <v>최종 보스 : 빛을 향해 달리는 그림자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 t="shared" si="465"/>
        <v>9791166067563</v>
      </c>
      <c r="AV3204" t="str">
        <f t="shared" si="466"/>
        <v>판타지 웹소설 &gt; 현대 판타지</v>
      </c>
    </row>
    <row r="3205" spans="1:48" x14ac:dyDescent="0.4">
      <c r="A3205">
        <v>2313011400</v>
      </c>
      <c r="B3205">
        <v>2313011642</v>
      </c>
      <c r="C3205" t="str">
        <f>T("최종 보스 12권 11화")</f>
        <v>최종 보스 12권 11화</v>
      </c>
      <c r="D3205" t="str">
        <f>T("243")</f>
        <v>243</v>
      </c>
      <c r="E3205" t="str">
        <f t="shared" si="463"/>
        <v>무장</v>
      </c>
      <c r="H3205" t="str">
        <f t="shared" si="467"/>
        <v>스토리위즈</v>
      </c>
      <c r="I3205" t="str">
        <f t="shared" si="464"/>
        <v>최종 보스 : 빛을 향해 달리는 그림자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 t="shared" si="465"/>
        <v>9791166067563</v>
      </c>
      <c r="AV3205" t="str">
        <f t="shared" si="466"/>
        <v>판타지 웹소설 &gt; 현대 판타지</v>
      </c>
    </row>
    <row r="3206" spans="1:48" x14ac:dyDescent="0.4">
      <c r="A3206">
        <v>2313012374</v>
      </c>
      <c r="B3206">
        <v>2313012423</v>
      </c>
      <c r="C3206" t="str">
        <f>T("그라운드의 지배자 50화")</f>
        <v>그라운드의 지배자 50화</v>
      </c>
      <c r="D3206" t="str">
        <f>T("50")</f>
        <v>50</v>
      </c>
      <c r="E3206" t="str">
        <f t="shared" si="463"/>
        <v>무장</v>
      </c>
      <c r="H3206" t="str">
        <f t="shared" si="467"/>
        <v>스토리위즈</v>
      </c>
      <c r="I3206" t="str">
        <f>T("그라운드의 지배자")</f>
        <v>그라운드의 지배자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>T("9791137602120")</f>
        <v>9791137602120</v>
      </c>
      <c r="AV3206" t="str">
        <f t="shared" si="466"/>
        <v>판타지 웹소설 &gt; 현대 판타지</v>
      </c>
    </row>
    <row r="3207" spans="1:48" x14ac:dyDescent="0.4">
      <c r="A3207">
        <v>2313012374</v>
      </c>
      <c r="B3207">
        <v>2313012470</v>
      </c>
      <c r="C3207" t="str">
        <f>T("그라운드의 지배자 97화")</f>
        <v>그라운드의 지배자 97화</v>
      </c>
      <c r="D3207" t="str">
        <f>T("97")</f>
        <v>97</v>
      </c>
      <c r="E3207" t="str">
        <f t="shared" si="463"/>
        <v>무장</v>
      </c>
      <c r="H3207" t="str">
        <f t="shared" si="467"/>
        <v>스토리위즈</v>
      </c>
      <c r="I3207" t="str">
        <f>T("그라운드의 지배자")</f>
        <v>그라운드의 지배자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>T("9791137602120")</f>
        <v>9791137602120</v>
      </c>
      <c r="AV3207" t="str">
        <f t="shared" si="466"/>
        <v>판타지 웹소설 &gt; 현대 판타지</v>
      </c>
    </row>
    <row r="3208" spans="1:48" x14ac:dyDescent="0.4">
      <c r="A3208">
        <v>2313012849</v>
      </c>
      <c r="B3208">
        <v>2313013369</v>
      </c>
      <c r="C3208" t="str">
        <f>T("디버프 마스터 521화")</f>
        <v>디버프 마스터 521화</v>
      </c>
      <c r="D3208" t="str">
        <f>T("521")</f>
        <v>521</v>
      </c>
      <c r="E3208" t="str">
        <f t="shared" ref="E3208:E3271" si="468">T("담화공")</f>
        <v>담화공</v>
      </c>
      <c r="H3208" t="str">
        <f t="shared" si="467"/>
        <v>스토리위즈</v>
      </c>
      <c r="I3208" t="str">
        <f t="shared" ref="I3208:I3271" si="469">T("디버프 마스터")</f>
        <v>디버프 마스터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 t="shared" ref="AT3208:AT3271" si="470">T("9791137602663")</f>
        <v>9791137602663</v>
      </c>
      <c r="AV3208" t="str">
        <f t="shared" ref="AV3208:AV3271" si="471">T("판타지 웹소설 &gt; 퓨전 판타지")</f>
        <v>판타지 웹소설 &gt; 퓨전 판타지</v>
      </c>
    </row>
    <row r="3209" spans="1:48" x14ac:dyDescent="0.4">
      <c r="A3209">
        <v>2313012849</v>
      </c>
      <c r="B3209">
        <v>2313013370</v>
      </c>
      <c r="C3209" t="str">
        <f>T("디버프 마스터 522화")</f>
        <v>디버프 마스터 522화</v>
      </c>
      <c r="D3209" t="str">
        <f>T("522")</f>
        <v>522</v>
      </c>
      <c r="E3209" t="str">
        <f t="shared" si="468"/>
        <v>담화공</v>
      </c>
      <c r="H3209" t="str">
        <f t="shared" si="467"/>
        <v>스토리위즈</v>
      </c>
      <c r="I3209" t="str">
        <f t="shared" si="469"/>
        <v>디버프 마스터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 t="shared" si="470"/>
        <v>9791137602663</v>
      </c>
      <c r="AV3209" t="str">
        <f t="shared" si="471"/>
        <v>판타지 웹소설 &gt; 퓨전 판타지</v>
      </c>
    </row>
    <row r="3210" spans="1:48" x14ac:dyDescent="0.4">
      <c r="A3210">
        <v>2313012849</v>
      </c>
      <c r="B3210">
        <v>2313013371</v>
      </c>
      <c r="C3210" t="str">
        <f>T("디버프 마스터 523화")</f>
        <v>디버프 마스터 523화</v>
      </c>
      <c r="D3210" t="str">
        <f>T("523")</f>
        <v>523</v>
      </c>
      <c r="E3210" t="str">
        <f t="shared" si="468"/>
        <v>담화공</v>
      </c>
      <c r="H3210" t="str">
        <f t="shared" si="467"/>
        <v>스토리위즈</v>
      </c>
      <c r="I3210" t="str">
        <f t="shared" si="469"/>
        <v>디버프 마스터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 t="shared" si="470"/>
        <v>9791137602663</v>
      </c>
      <c r="AV3210" t="str">
        <f t="shared" si="471"/>
        <v>판타지 웹소설 &gt; 퓨전 판타지</v>
      </c>
    </row>
    <row r="3211" spans="1:48" x14ac:dyDescent="0.4">
      <c r="A3211">
        <v>2313012849</v>
      </c>
      <c r="B3211">
        <v>2313013372</v>
      </c>
      <c r="C3211" t="str">
        <f>T("디버프 마스터 524화")</f>
        <v>디버프 마스터 524화</v>
      </c>
      <c r="D3211" t="str">
        <f>T("524")</f>
        <v>524</v>
      </c>
      <c r="E3211" t="str">
        <f t="shared" si="468"/>
        <v>담화공</v>
      </c>
      <c r="H3211" t="str">
        <f t="shared" si="467"/>
        <v>스토리위즈</v>
      </c>
      <c r="I3211" t="str">
        <f t="shared" si="469"/>
        <v>디버프 마스터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 t="shared" si="470"/>
        <v>9791137602663</v>
      </c>
      <c r="AV3211" t="str">
        <f t="shared" si="471"/>
        <v>판타지 웹소설 &gt; 퓨전 판타지</v>
      </c>
    </row>
    <row r="3212" spans="1:48" x14ac:dyDescent="0.4">
      <c r="A3212">
        <v>2313012849</v>
      </c>
      <c r="B3212">
        <v>2313013373</v>
      </c>
      <c r="C3212" t="str">
        <f>T("디버프 마스터 525화")</f>
        <v>디버프 마스터 525화</v>
      </c>
      <c r="D3212" t="str">
        <f>T("525")</f>
        <v>525</v>
      </c>
      <c r="E3212" t="str">
        <f t="shared" si="468"/>
        <v>담화공</v>
      </c>
      <c r="H3212" t="str">
        <f t="shared" si="467"/>
        <v>스토리위즈</v>
      </c>
      <c r="I3212" t="str">
        <f t="shared" si="469"/>
        <v>디버프 마스터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 t="shared" si="470"/>
        <v>9791137602663</v>
      </c>
      <c r="AV3212" t="str">
        <f t="shared" si="471"/>
        <v>판타지 웹소설 &gt; 퓨전 판타지</v>
      </c>
    </row>
    <row r="3213" spans="1:48" x14ac:dyDescent="0.4">
      <c r="A3213">
        <v>2313012849</v>
      </c>
      <c r="B3213">
        <v>2313013374</v>
      </c>
      <c r="C3213" t="str">
        <f>T("디버프 마스터 526화")</f>
        <v>디버프 마스터 526화</v>
      </c>
      <c r="D3213" t="str">
        <f>T("526")</f>
        <v>526</v>
      </c>
      <c r="E3213" t="str">
        <f t="shared" si="468"/>
        <v>담화공</v>
      </c>
      <c r="H3213" t="str">
        <f t="shared" si="467"/>
        <v>스토리위즈</v>
      </c>
      <c r="I3213" t="str">
        <f t="shared" si="469"/>
        <v>디버프 마스터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 t="shared" si="470"/>
        <v>9791137602663</v>
      </c>
      <c r="AV3213" t="str">
        <f t="shared" si="471"/>
        <v>판타지 웹소설 &gt; 퓨전 판타지</v>
      </c>
    </row>
    <row r="3214" spans="1:48" x14ac:dyDescent="0.4">
      <c r="A3214">
        <v>2313012849</v>
      </c>
      <c r="B3214">
        <v>2313013375</v>
      </c>
      <c r="C3214" t="str">
        <f>T("디버프 마스터 527화")</f>
        <v>디버프 마스터 527화</v>
      </c>
      <c r="D3214" t="str">
        <f>T("527")</f>
        <v>527</v>
      </c>
      <c r="E3214" t="str">
        <f t="shared" si="468"/>
        <v>담화공</v>
      </c>
      <c r="H3214" t="str">
        <f t="shared" si="467"/>
        <v>스토리위즈</v>
      </c>
      <c r="I3214" t="str">
        <f t="shared" si="469"/>
        <v>디버프 마스터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 t="shared" si="470"/>
        <v>9791137602663</v>
      </c>
      <c r="AV3214" t="str">
        <f t="shared" si="471"/>
        <v>판타지 웹소설 &gt; 퓨전 판타지</v>
      </c>
    </row>
    <row r="3215" spans="1:48" x14ac:dyDescent="0.4">
      <c r="A3215">
        <v>2313012849</v>
      </c>
      <c r="B3215">
        <v>2313013376</v>
      </c>
      <c r="C3215" t="str">
        <f>T("디버프 마스터 528화")</f>
        <v>디버프 마스터 528화</v>
      </c>
      <c r="D3215" t="str">
        <f>T("528")</f>
        <v>528</v>
      </c>
      <c r="E3215" t="str">
        <f t="shared" si="468"/>
        <v>담화공</v>
      </c>
      <c r="H3215" t="str">
        <f t="shared" si="467"/>
        <v>스토리위즈</v>
      </c>
      <c r="I3215" t="str">
        <f t="shared" si="469"/>
        <v>디버프 마스터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 t="shared" si="470"/>
        <v>9791137602663</v>
      </c>
      <c r="AV3215" t="str">
        <f t="shared" si="471"/>
        <v>판타지 웹소설 &gt; 퓨전 판타지</v>
      </c>
    </row>
    <row r="3216" spans="1:48" x14ac:dyDescent="0.4">
      <c r="A3216">
        <v>2313012849</v>
      </c>
      <c r="B3216">
        <v>2313013377</v>
      </c>
      <c r="C3216" t="str">
        <f>T("디버프 마스터 529화")</f>
        <v>디버프 마스터 529화</v>
      </c>
      <c r="D3216" t="str">
        <f>T("529")</f>
        <v>529</v>
      </c>
      <c r="E3216" t="str">
        <f t="shared" si="468"/>
        <v>담화공</v>
      </c>
      <c r="H3216" t="str">
        <f t="shared" si="467"/>
        <v>스토리위즈</v>
      </c>
      <c r="I3216" t="str">
        <f t="shared" si="469"/>
        <v>디버프 마스터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 t="shared" si="470"/>
        <v>9791137602663</v>
      </c>
      <c r="AV3216" t="str">
        <f t="shared" si="471"/>
        <v>판타지 웹소설 &gt; 퓨전 판타지</v>
      </c>
    </row>
    <row r="3217" spans="1:48" x14ac:dyDescent="0.4">
      <c r="A3217">
        <v>2313012849</v>
      </c>
      <c r="B3217">
        <v>2313013378</v>
      </c>
      <c r="C3217" t="str">
        <f>T("디버프 마스터 530화")</f>
        <v>디버프 마스터 530화</v>
      </c>
      <c r="D3217" t="str">
        <f>T("530")</f>
        <v>530</v>
      </c>
      <c r="E3217" t="str">
        <f t="shared" si="468"/>
        <v>담화공</v>
      </c>
      <c r="H3217" t="str">
        <f t="shared" si="467"/>
        <v>스토리위즈</v>
      </c>
      <c r="I3217" t="str">
        <f t="shared" si="469"/>
        <v>디버프 마스터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 t="shared" si="470"/>
        <v>9791137602663</v>
      </c>
      <c r="AV3217" t="str">
        <f t="shared" si="471"/>
        <v>판타지 웹소설 &gt; 퓨전 판타지</v>
      </c>
    </row>
    <row r="3218" spans="1:48" x14ac:dyDescent="0.4">
      <c r="A3218">
        <v>2313012849</v>
      </c>
      <c r="B3218">
        <v>2313013379</v>
      </c>
      <c r="C3218" t="str">
        <f>T("디버프 마스터 531화")</f>
        <v>디버프 마스터 531화</v>
      </c>
      <c r="D3218" t="str">
        <f>T("531")</f>
        <v>531</v>
      </c>
      <c r="E3218" t="str">
        <f t="shared" si="468"/>
        <v>담화공</v>
      </c>
      <c r="H3218" t="str">
        <f t="shared" si="467"/>
        <v>스토리위즈</v>
      </c>
      <c r="I3218" t="str">
        <f t="shared" si="469"/>
        <v>디버프 마스터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 t="shared" si="470"/>
        <v>9791137602663</v>
      </c>
      <c r="AV3218" t="str">
        <f t="shared" si="471"/>
        <v>판타지 웹소설 &gt; 퓨전 판타지</v>
      </c>
    </row>
    <row r="3219" spans="1:48" x14ac:dyDescent="0.4">
      <c r="A3219">
        <v>2313012849</v>
      </c>
      <c r="B3219">
        <v>2313013380</v>
      </c>
      <c r="C3219" t="str">
        <f>T("디버프 마스터 532화")</f>
        <v>디버프 마스터 532화</v>
      </c>
      <c r="D3219" t="str">
        <f>T("532")</f>
        <v>532</v>
      </c>
      <c r="E3219" t="str">
        <f t="shared" si="468"/>
        <v>담화공</v>
      </c>
      <c r="H3219" t="str">
        <f t="shared" si="467"/>
        <v>스토리위즈</v>
      </c>
      <c r="I3219" t="str">
        <f t="shared" si="469"/>
        <v>디버프 마스터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 t="shared" si="470"/>
        <v>9791137602663</v>
      </c>
      <c r="AV3219" t="str">
        <f t="shared" si="471"/>
        <v>판타지 웹소설 &gt; 퓨전 판타지</v>
      </c>
    </row>
    <row r="3220" spans="1:48" x14ac:dyDescent="0.4">
      <c r="A3220">
        <v>2313012849</v>
      </c>
      <c r="B3220">
        <v>2313013381</v>
      </c>
      <c r="C3220" t="str">
        <f>T("디버프 마스터 533화")</f>
        <v>디버프 마스터 533화</v>
      </c>
      <c r="D3220" t="str">
        <f>T("533")</f>
        <v>533</v>
      </c>
      <c r="E3220" t="str">
        <f t="shared" si="468"/>
        <v>담화공</v>
      </c>
      <c r="H3220" t="str">
        <f t="shared" si="467"/>
        <v>스토리위즈</v>
      </c>
      <c r="I3220" t="str">
        <f t="shared" si="469"/>
        <v>디버프 마스터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 t="shared" si="470"/>
        <v>9791137602663</v>
      </c>
      <c r="AV3220" t="str">
        <f t="shared" si="471"/>
        <v>판타지 웹소설 &gt; 퓨전 판타지</v>
      </c>
    </row>
    <row r="3221" spans="1:48" x14ac:dyDescent="0.4">
      <c r="A3221">
        <v>2313012849</v>
      </c>
      <c r="B3221">
        <v>2313013382</v>
      </c>
      <c r="C3221" t="str">
        <f>T("디버프 마스터 534화")</f>
        <v>디버프 마스터 534화</v>
      </c>
      <c r="D3221" t="str">
        <f>T("534")</f>
        <v>534</v>
      </c>
      <c r="E3221" t="str">
        <f t="shared" si="468"/>
        <v>담화공</v>
      </c>
      <c r="H3221" t="str">
        <f t="shared" si="467"/>
        <v>스토리위즈</v>
      </c>
      <c r="I3221" t="str">
        <f t="shared" si="469"/>
        <v>디버프 마스터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 t="shared" si="470"/>
        <v>9791137602663</v>
      </c>
      <c r="AV3221" t="str">
        <f t="shared" si="471"/>
        <v>판타지 웹소설 &gt; 퓨전 판타지</v>
      </c>
    </row>
    <row r="3222" spans="1:48" x14ac:dyDescent="0.4">
      <c r="A3222">
        <v>2313012849</v>
      </c>
      <c r="B3222">
        <v>2313013383</v>
      </c>
      <c r="C3222" t="str">
        <f>T("디버프 마스터 535화")</f>
        <v>디버프 마스터 535화</v>
      </c>
      <c r="D3222" t="str">
        <f>T("535")</f>
        <v>535</v>
      </c>
      <c r="E3222" t="str">
        <f t="shared" si="468"/>
        <v>담화공</v>
      </c>
      <c r="H3222" t="str">
        <f t="shared" si="467"/>
        <v>스토리위즈</v>
      </c>
      <c r="I3222" t="str">
        <f t="shared" si="469"/>
        <v>디버프 마스터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T3222" t="str">
        <f t="shared" si="470"/>
        <v>9791137602663</v>
      </c>
      <c r="AV3222" t="str">
        <f t="shared" si="471"/>
        <v>판타지 웹소설 &gt; 퓨전 판타지</v>
      </c>
    </row>
    <row r="3223" spans="1:48" x14ac:dyDescent="0.4">
      <c r="A3223">
        <v>2313012849</v>
      </c>
      <c r="B3223">
        <v>2313013384</v>
      </c>
      <c r="C3223" t="str">
        <f>T("디버프 마스터 536화")</f>
        <v>디버프 마스터 536화</v>
      </c>
      <c r="D3223" t="str">
        <f>T("536")</f>
        <v>536</v>
      </c>
      <c r="E3223" t="str">
        <f t="shared" si="468"/>
        <v>담화공</v>
      </c>
      <c r="H3223" t="str">
        <f t="shared" si="467"/>
        <v>스토리위즈</v>
      </c>
      <c r="I3223" t="str">
        <f t="shared" si="469"/>
        <v>디버프 마스터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T3223" t="str">
        <f t="shared" si="470"/>
        <v>9791137602663</v>
      </c>
      <c r="AV3223" t="str">
        <f t="shared" si="471"/>
        <v>판타지 웹소설 &gt; 퓨전 판타지</v>
      </c>
    </row>
    <row r="3224" spans="1:48" x14ac:dyDescent="0.4">
      <c r="A3224">
        <v>2313012849</v>
      </c>
      <c r="B3224">
        <v>2313013385</v>
      </c>
      <c r="C3224" t="str">
        <f>T("디버프 마스터 537화")</f>
        <v>디버프 마스터 537화</v>
      </c>
      <c r="D3224" t="str">
        <f>T("537")</f>
        <v>537</v>
      </c>
      <c r="E3224" t="str">
        <f t="shared" si="468"/>
        <v>담화공</v>
      </c>
      <c r="H3224" t="str">
        <f t="shared" si="467"/>
        <v>스토리위즈</v>
      </c>
      <c r="I3224" t="str">
        <f t="shared" si="469"/>
        <v>디버프 마스터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T3224" t="str">
        <f t="shared" si="470"/>
        <v>9791137602663</v>
      </c>
      <c r="AV3224" t="str">
        <f t="shared" si="471"/>
        <v>판타지 웹소설 &gt; 퓨전 판타지</v>
      </c>
    </row>
    <row r="3225" spans="1:48" x14ac:dyDescent="0.4">
      <c r="A3225">
        <v>2313012849</v>
      </c>
      <c r="B3225">
        <v>2313013386</v>
      </c>
      <c r="C3225" t="str">
        <f>T("디버프 마스터 538화")</f>
        <v>디버프 마스터 538화</v>
      </c>
      <c r="D3225" t="str">
        <f>T("538")</f>
        <v>538</v>
      </c>
      <c r="E3225" t="str">
        <f t="shared" si="468"/>
        <v>담화공</v>
      </c>
      <c r="H3225" t="str">
        <f t="shared" si="467"/>
        <v>스토리위즈</v>
      </c>
      <c r="I3225" t="str">
        <f t="shared" si="469"/>
        <v>디버프 마스터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T3225" t="str">
        <f t="shared" si="470"/>
        <v>9791137602663</v>
      </c>
      <c r="AV3225" t="str">
        <f t="shared" si="471"/>
        <v>판타지 웹소설 &gt; 퓨전 판타지</v>
      </c>
    </row>
    <row r="3226" spans="1:48" x14ac:dyDescent="0.4">
      <c r="A3226">
        <v>2313012849</v>
      </c>
      <c r="B3226">
        <v>2313013387</v>
      </c>
      <c r="C3226" t="str">
        <f>T("디버프 마스터 539화")</f>
        <v>디버프 마스터 539화</v>
      </c>
      <c r="D3226" t="str">
        <f>T("539")</f>
        <v>539</v>
      </c>
      <c r="E3226" t="str">
        <f t="shared" si="468"/>
        <v>담화공</v>
      </c>
      <c r="H3226" t="str">
        <f t="shared" si="467"/>
        <v>스토리위즈</v>
      </c>
      <c r="I3226" t="str">
        <f t="shared" si="469"/>
        <v>디버프 마스터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T3226" t="str">
        <f t="shared" si="470"/>
        <v>9791137602663</v>
      </c>
      <c r="AV3226" t="str">
        <f t="shared" si="471"/>
        <v>판타지 웹소설 &gt; 퓨전 판타지</v>
      </c>
    </row>
    <row r="3227" spans="1:48" x14ac:dyDescent="0.4">
      <c r="A3227">
        <v>2313012849</v>
      </c>
      <c r="B3227">
        <v>2313013388</v>
      </c>
      <c r="C3227" t="str">
        <f>T("디버프 마스터 540화")</f>
        <v>디버프 마스터 540화</v>
      </c>
      <c r="D3227" t="str">
        <f>T("540")</f>
        <v>540</v>
      </c>
      <c r="E3227" t="str">
        <f t="shared" si="468"/>
        <v>담화공</v>
      </c>
      <c r="H3227" t="str">
        <f t="shared" si="467"/>
        <v>스토리위즈</v>
      </c>
      <c r="I3227" t="str">
        <f t="shared" si="469"/>
        <v>디버프 마스터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T3227" t="str">
        <f t="shared" si="470"/>
        <v>9791137602663</v>
      </c>
      <c r="AV3227" t="str">
        <f t="shared" si="471"/>
        <v>판타지 웹소설 &gt; 퓨전 판타지</v>
      </c>
    </row>
    <row r="3228" spans="1:48" x14ac:dyDescent="0.4">
      <c r="A3228">
        <v>2313012849</v>
      </c>
      <c r="B3228">
        <v>2313013389</v>
      </c>
      <c r="C3228" t="str">
        <f>T("디버프 마스터 541화")</f>
        <v>디버프 마스터 541화</v>
      </c>
      <c r="D3228" t="str">
        <f>T("541")</f>
        <v>541</v>
      </c>
      <c r="E3228" t="str">
        <f t="shared" si="468"/>
        <v>담화공</v>
      </c>
      <c r="H3228" t="str">
        <f t="shared" si="467"/>
        <v>스토리위즈</v>
      </c>
      <c r="I3228" t="str">
        <f t="shared" si="469"/>
        <v>디버프 마스터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T3228" t="str">
        <f t="shared" si="470"/>
        <v>9791137602663</v>
      </c>
      <c r="AV3228" t="str">
        <f t="shared" si="471"/>
        <v>판타지 웹소설 &gt; 퓨전 판타지</v>
      </c>
    </row>
    <row r="3229" spans="1:48" x14ac:dyDescent="0.4">
      <c r="A3229">
        <v>2313012849</v>
      </c>
      <c r="B3229">
        <v>2313013390</v>
      </c>
      <c r="C3229" t="str">
        <f>T("디버프 마스터 542화")</f>
        <v>디버프 마스터 542화</v>
      </c>
      <c r="D3229" t="str">
        <f>T("542")</f>
        <v>542</v>
      </c>
      <c r="E3229" t="str">
        <f t="shared" si="468"/>
        <v>담화공</v>
      </c>
      <c r="H3229" t="str">
        <f t="shared" si="467"/>
        <v>스토리위즈</v>
      </c>
      <c r="I3229" t="str">
        <f t="shared" si="469"/>
        <v>디버프 마스터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T3229" t="str">
        <f t="shared" si="470"/>
        <v>9791137602663</v>
      </c>
      <c r="AV3229" t="str">
        <f t="shared" si="471"/>
        <v>판타지 웹소설 &gt; 퓨전 판타지</v>
      </c>
    </row>
    <row r="3230" spans="1:48" x14ac:dyDescent="0.4">
      <c r="A3230">
        <v>2313012849</v>
      </c>
      <c r="B3230">
        <v>2313013391</v>
      </c>
      <c r="C3230" t="str">
        <f>T("디버프 마스터 543화")</f>
        <v>디버프 마스터 543화</v>
      </c>
      <c r="D3230" t="str">
        <f>T("543")</f>
        <v>543</v>
      </c>
      <c r="E3230" t="str">
        <f t="shared" si="468"/>
        <v>담화공</v>
      </c>
      <c r="H3230" t="str">
        <f t="shared" si="467"/>
        <v>스토리위즈</v>
      </c>
      <c r="I3230" t="str">
        <f t="shared" si="469"/>
        <v>디버프 마스터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T3230" t="str">
        <f t="shared" si="470"/>
        <v>9791137602663</v>
      </c>
      <c r="AV3230" t="str">
        <f t="shared" si="471"/>
        <v>판타지 웹소설 &gt; 퓨전 판타지</v>
      </c>
    </row>
    <row r="3231" spans="1:48" x14ac:dyDescent="0.4">
      <c r="A3231">
        <v>2313012849</v>
      </c>
      <c r="B3231">
        <v>2313013392</v>
      </c>
      <c r="C3231" t="str">
        <f>T("디버프 마스터 544화")</f>
        <v>디버프 마스터 544화</v>
      </c>
      <c r="D3231" t="str">
        <f>T("544")</f>
        <v>544</v>
      </c>
      <c r="E3231" t="str">
        <f t="shared" si="468"/>
        <v>담화공</v>
      </c>
      <c r="H3231" t="str">
        <f t="shared" si="467"/>
        <v>스토리위즈</v>
      </c>
      <c r="I3231" t="str">
        <f t="shared" si="469"/>
        <v>디버프 마스터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T3231" t="str">
        <f t="shared" si="470"/>
        <v>9791137602663</v>
      </c>
      <c r="AV3231" t="str">
        <f t="shared" si="471"/>
        <v>판타지 웹소설 &gt; 퓨전 판타지</v>
      </c>
    </row>
    <row r="3232" spans="1:48" x14ac:dyDescent="0.4">
      <c r="A3232">
        <v>2313012849</v>
      </c>
      <c r="B3232">
        <v>2313013393</v>
      </c>
      <c r="C3232" t="str">
        <f>T("디버프 마스터 545화")</f>
        <v>디버프 마스터 545화</v>
      </c>
      <c r="D3232" t="str">
        <f>T("545")</f>
        <v>545</v>
      </c>
      <c r="E3232" t="str">
        <f t="shared" si="468"/>
        <v>담화공</v>
      </c>
      <c r="H3232" t="str">
        <f t="shared" si="467"/>
        <v>스토리위즈</v>
      </c>
      <c r="I3232" t="str">
        <f t="shared" si="469"/>
        <v>디버프 마스터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T3232" t="str">
        <f t="shared" si="470"/>
        <v>9791137602663</v>
      </c>
      <c r="AV3232" t="str">
        <f t="shared" si="471"/>
        <v>판타지 웹소설 &gt; 퓨전 판타지</v>
      </c>
    </row>
    <row r="3233" spans="1:48" x14ac:dyDescent="0.4">
      <c r="A3233">
        <v>2313012849</v>
      </c>
      <c r="B3233">
        <v>2313013394</v>
      </c>
      <c r="C3233" t="str">
        <f>T("디버프 마스터 546화")</f>
        <v>디버프 마스터 546화</v>
      </c>
      <c r="D3233" t="str">
        <f>T("546")</f>
        <v>546</v>
      </c>
      <c r="E3233" t="str">
        <f t="shared" si="468"/>
        <v>담화공</v>
      </c>
      <c r="H3233" t="str">
        <f t="shared" si="467"/>
        <v>스토리위즈</v>
      </c>
      <c r="I3233" t="str">
        <f t="shared" si="469"/>
        <v>디버프 마스터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T3233" t="str">
        <f t="shared" si="470"/>
        <v>9791137602663</v>
      </c>
      <c r="AV3233" t="str">
        <f t="shared" si="471"/>
        <v>판타지 웹소설 &gt; 퓨전 판타지</v>
      </c>
    </row>
    <row r="3234" spans="1:48" x14ac:dyDescent="0.4">
      <c r="A3234">
        <v>2313012849</v>
      </c>
      <c r="B3234">
        <v>2313013395</v>
      </c>
      <c r="C3234" t="str">
        <f>T("디버프 마스터 547화")</f>
        <v>디버프 마스터 547화</v>
      </c>
      <c r="D3234" t="str">
        <f>T("547")</f>
        <v>547</v>
      </c>
      <c r="E3234" t="str">
        <f t="shared" si="468"/>
        <v>담화공</v>
      </c>
      <c r="H3234" t="str">
        <f t="shared" si="467"/>
        <v>스토리위즈</v>
      </c>
      <c r="I3234" t="str">
        <f t="shared" si="469"/>
        <v>디버프 마스터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T3234" t="str">
        <f t="shared" si="470"/>
        <v>9791137602663</v>
      </c>
      <c r="AV3234" t="str">
        <f t="shared" si="471"/>
        <v>판타지 웹소설 &gt; 퓨전 판타지</v>
      </c>
    </row>
    <row r="3235" spans="1:48" x14ac:dyDescent="0.4">
      <c r="A3235">
        <v>2313012849</v>
      </c>
      <c r="B3235">
        <v>2313013396</v>
      </c>
      <c r="C3235" t="str">
        <f>T("디버프 마스터 548화")</f>
        <v>디버프 마스터 548화</v>
      </c>
      <c r="D3235" t="str">
        <f>T("548")</f>
        <v>548</v>
      </c>
      <c r="E3235" t="str">
        <f t="shared" si="468"/>
        <v>담화공</v>
      </c>
      <c r="H3235" t="str">
        <f t="shared" si="467"/>
        <v>스토리위즈</v>
      </c>
      <c r="I3235" t="str">
        <f t="shared" si="469"/>
        <v>디버프 마스터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T3235" t="str">
        <f t="shared" si="470"/>
        <v>9791137602663</v>
      </c>
      <c r="AV3235" t="str">
        <f t="shared" si="471"/>
        <v>판타지 웹소설 &gt; 퓨전 판타지</v>
      </c>
    </row>
    <row r="3236" spans="1:48" x14ac:dyDescent="0.4">
      <c r="A3236">
        <v>2313012849</v>
      </c>
      <c r="B3236">
        <v>2313013397</v>
      </c>
      <c r="C3236" t="str">
        <f>T("디버프 마스터 549화")</f>
        <v>디버프 마스터 549화</v>
      </c>
      <c r="D3236" t="str">
        <f>T("549")</f>
        <v>549</v>
      </c>
      <c r="E3236" t="str">
        <f t="shared" si="468"/>
        <v>담화공</v>
      </c>
      <c r="H3236" t="str">
        <f t="shared" si="467"/>
        <v>스토리위즈</v>
      </c>
      <c r="I3236" t="str">
        <f t="shared" si="469"/>
        <v>디버프 마스터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T3236" t="str">
        <f t="shared" si="470"/>
        <v>9791137602663</v>
      </c>
      <c r="AV3236" t="str">
        <f t="shared" si="471"/>
        <v>판타지 웹소설 &gt; 퓨전 판타지</v>
      </c>
    </row>
    <row r="3237" spans="1:48" x14ac:dyDescent="0.4">
      <c r="A3237">
        <v>2313012849</v>
      </c>
      <c r="B3237">
        <v>2313013398</v>
      </c>
      <c r="C3237" t="str">
        <f>T("디버프 마스터 550화")</f>
        <v>디버프 마스터 550화</v>
      </c>
      <c r="D3237" t="str">
        <f>T("550")</f>
        <v>550</v>
      </c>
      <c r="E3237" t="str">
        <f t="shared" si="468"/>
        <v>담화공</v>
      </c>
      <c r="H3237" t="str">
        <f t="shared" si="467"/>
        <v>스토리위즈</v>
      </c>
      <c r="I3237" t="str">
        <f t="shared" si="469"/>
        <v>디버프 마스터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70</v>
      </c>
      <c r="AT3237" t="str">
        <f t="shared" si="470"/>
        <v>9791137602663</v>
      </c>
      <c r="AV3237" t="str">
        <f t="shared" si="471"/>
        <v>판타지 웹소설 &gt; 퓨전 판타지</v>
      </c>
    </row>
    <row r="3238" spans="1:48" x14ac:dyDescent="0.4">
      <c r="A3238">
        <v>2313012849</v>
      </c>
      <c r="B3238">
        <v>2313013399</v>
      </c>
      <c r="C3238" t="str">
        <f>T("디버프 마스터 551화")</f>
        <v>디버프 마스터 551화</v>
      </c>
      <c r="D3238" t="str">
        <f>T("551")</f>
        <v>551</v>
      </c>
      <c r="E3238" t="str">
        <f t="shared" si="468"/>
        <v>담화공</v>
      </c>
      <c r="H3238" t="str">
        <f t="shared" si="467"/>
        <v>스토리위즈</v>
      </c>
      <c r="I3238" t="str">
        <f t="shared" si="469"/>
        <v>디버프 마스터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70</v>
      </c>
      <c r="AT3238" t="str">
        <f t="shared" si="470"/>
        <v>9791137602663</v>
      </c>
      <c r="AV3238" t="str">
        <f t="shared" si="471"/>
        <v>판타지 웹소설 &gt; 퓨전 판타지</v>
      </c>
    </row>
    <row r="3239" spans="1:48" x14ac:dyDescent="0.4">
      <c r="A3239">
        <v>2313012849</v>
      </c>
      <c r="B3239">
        <v>2313013400</v>
      </c>
      <c r="C3239" t="str">
        <f>T("디버프 마스터 552화")</f>
        <v>디버프 마스터 552화</v>
      </c>
      <c r="D3239" t="str">
        <f>T("552")</f>
        <v>552</v>
      </c>
      <c r="E3239" t="str">
        <f t="shared" si="468"/>
        <v>담화공</v>
      </c>
      <c r="H3239" t="str">
        <f t="shared" si="467"/>
        <v>스토리위즈</v>
      </c>
      <c r="I3239" t="str">
        <f t="shared" si="469"/>
        <v>디버프 마스터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70</v>
      </c>
      <c r="AT3239" t="str">
        <f t="shared" si="470"/>
        <v>9791137602663</v>
      </c>
      <c r="AV3239" t="str">
        <f t="shared" si="471"/>
        <v>판타지 웹소설 &gt; 퓨전 판타지</v>
      </c>
    </row>
    <row r="3240" spans="1:48" x14ac:dyDescent="0.4">
      <c r="A3240">
        <v>2313012849</v>
      </c>
      <c r="B3240">
        <v>2313013401</v>
      </c>
      <c r="C3240" t="str">
        <f>T("디버프 마스터 553화")</f>
        <v>디버프 마스터 553화</v>
      </c>
      <c r="D3240" t="str">
        <f>T("553")</f>
        <v>553</v>
      </c>
      <c r="E3240" t="str">
        <f t="shared" si="468"/>
        <v>담화공</v>
      </c>
      <c r="H3240" t="str">
        <f t="shared" si="467"/>
        <v>스토리위즈</v>
      </c>
      <c r="I3240" t="str">
        <f t="shared" si="469"/>
        <v>디버프 마스터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70</v>
      </c>
      <c r="AT3240" t="str">
        <f t="shared" si="470"/>
        <v>9791137602663</v>
      </c>
      <c r="AV3240" t="str">
        <f t="shared" si="471"/>
        <v>판타지 웹소설 &gt; 퓨전 판타지</v>
      </c>
    </row>
    <row r="3241" spans="1:48" x14ac:dyDescent="0.4">
      <c r="A3241">
        <v>2313012849</v>
      </c>
      <c r="B3241">
        <v>2313013402</v>
      </c>
      <c r="C3241" t="str">
        <f>T("디버프 마스터 554화")</f>
        <v>디버프 마스터 554화</v>
      </c>
      <c r="D3241" t="str">
        <f>T("554")</f>
        <v>554</v>
      </c>
      <c r="E3241" t="str">
        <f t="shared" si="468"/>
        <v>담화공</v>
      </c>
      <c r="H3241" t="str">
        <f t="shared" si="467"/>
        <v>스토리위즈</v>
      </c>
      <c r="I3241" t="str">
        <f t="shared" si="469"/>
        <v>디버프 마스터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T3241" t="str">
        <f t="shared" si="470"/>
        <v>9791137602663</v>
      </c>
      <c r="AV3241" t="str">
        <f t="shared" si="471"/>
        <v>판타지 웹소설 &gt; 퓨전 판타지</v>
      </c>
    </row>
    <row r="3242" spans="1:48" x14ac:dyDescent="0.4">
      <c r="A3242">
        <v>2313012849</v>
      </c>
      <c r="B3242">
        <v>2313013403</v>
      </c>
      <c r="C3242" t="str">
        <f>T("디버프 마스터 555화")</f>
        <v>디버프 마스터 555화</v>
      </c>
      <c r="D3242" t="str">
        <f>T("555")</f>
        <v>555</v>
      </c>
      <c r="E3242" t="str">
        <f t="shared" si="468"/>
        <v>담화공</v>
      </c>
      <c r="H3242" t="str">
        <f t="shared" si="467"/>
        <v>스토리위즈</v>
      </c>
      <c r="I3242" t="str">
        <f t="shared" si="469"/>
        <v>디버프 마스터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70</v>
      </c>
      <c r="AT3242" t="str">
        <f t="shared" si="470"/>
        <v>9791137602663</v>
      </c>
      <c r="AV3242" t="str">
        <f t="shared" si="471"/>
        <v>판타지 웹소설 &gt; 퓨전 판타지</v>
      </c>
    </row>
    <row r="3243" spans="1:48" x14ac:dyDescent="0.4">
      <c r="A3243">
        <v>2313012849</v>
      </c>
      <c r="B3243">
        <v>2313013404</v>
      </c>
      <c r="C3243" t="str">
        <f>T("디버프 마스터 556화")</f>
        <v>디버프 마스터 556화</v>
      </c>
      <c r="D3243" t="str">
        <f>T("556")</f>
        <v>556</v>
      </c>
      <c r="E3243" t="str">
        <f t="shared" si="468"/>
        <v>담화공</v>
      </c>
      <c r="H3243" t="str">
        <f t="shared" si="467"/>
        <v>스토리위즈</v>
      </c>
      <c r="I3243" t="str">
        <f t="shared" si="469"/>
        <v>디버프 마스터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70</v>
      </c>
      <c r="AT3243" t="str">
        <f t="shared" si="470"/>
        <v>9791137602663</v>
      </c>
      <c r="AV3243" t="str">
        <f t="shared" si="471"/>
        <v>판타지 웹소설 &gt; 퓨전 판타지</v>
      </c>
    </row>
    <row r="3244" spans="1:48" x14ac:dyDescent="0.4">
      <c r="A3244">
        <v>2313012849</v>
      </c>
      <c r="B3244">
        <v>2313013405</v>
      </c>
      <c r="C3244" t="str">
        <f>T("디버프 마스터 557화")</f>
        <v>디버프 마스터 557화</v>
      </c>
      <c r="D3244" t="str">
        <f>T("557")</f>
        <v>557</v>
      </c>
      <c r="E3244" t="str">
        <f t="shared" si="468"/>
        <v>담화공</v>
      </c>
      <c r="H3244" t="str">
        <f t="shared" si="467"/>
        <v>스토리위즈</v>
      </c>
      <c r="I3244" t="str">
        <f t="shared" si="469"/>
        <v>디버프 마스터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70</v>
      </c>
      <c r="AT3244" t="str">
        <f t="shared" si="470"/>
        <v>9791137602663</v>
      </c>
      <c r="AV3244" t="str">
        <f t="shared" si="471"/>
        <v>판타지 웹소설 &gt; 퓨전 판타지</v>
      </c>
    </row>
    <row r="3245" spans="1:48" x14ac:dyDescent="0.4">
      <c r="A3245">
        <v>2313012849</v>
      </c>
      <c r="B3245">
        <v>2313013406</v>
      </c>
      <c r="C3245" t="str">
        <f>T("디버프 마스터 558화")</f>
        <v>디버프 마스터 558화</v>
      </c>
      <c r="D3245" t="str">
        <f>T("558")</f>
        <v>558</v>
      </c>
      <c r="E3245" t="str">
        <f t="shared" si="468"/>
        <v>담화공</v>
      </c>
      <c r="H3245" t="str">
        <f t="shared" si="467"/>
        <v>스토리위즈</v>
      </c>
      <c r="I3245" t="str">
        <f t="shared" si="469"/>
        <v>디버프 마스터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70</v>
      </c>
      <c r="AT3245" t="str">
        <f t="shared" si="470"/>
        <v>9791137602663</v>
      </c>
      <c r="AV3245" t="str">
        <f t="shared" si="471"/>
        <v>판타지 웹소설 &gt; 퓨전 판타지</v>
      </c>
    </row>
    <row r="3246" spans="1:48" x14ac:dyDescent="0.4">
      <c r="A3246">
        <v>2313012849</v>
      </c>
      <c r="B3246">
        <v>2313013407</v>
      </c>
      <c r="C3246" t="str">
        <f>T("디버프 마스터 559화")</f>
        <v>디버프 마스터 559화</v>
      </c>
      <c r="D3246" t="str">
        <f>T("559")</f>
        <v>559</v>
      </c>
      <c r="E3246" t="str">
        <f t="shared" si="468"/>
        <v>담화공</v>
      </c>
      <c r="H3246" t="str">
        <f t="shared" si="467"/>
        <v>스토리위즈</v>
      </c>
      <c r="I3246" t="str">
        <f t="shared" si="469"/>
        <v>디버프 마스터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70</v>
      </c>
      <c r="AT3246" t="str">
        <f t="shared" si="470"/>
        <v>9791137602663</v>
      </c>
      <c r="AV3246" t="str">
        <f t="shared" si="471"/>
        <v>판타지 웹소설 &gt; 퓨전 판타지</v>
      </c>
    </row>
    <row r="3247" spans="1:48" x14ac:dyDescent="0.4">
      <c r="A3247">
        <v>2313012849</v>
      </c>
      <c r="B3247">
        <v>2313013408</v>
      </c>
      <c r="C3247" t="str">
        <f>T("디버프 마스터 560화")</f>
        <v>디버프 마스터 560화</v>
      </c>
      <c r="D3247" t="str">
        <f>T("560")</f>
        <v>560</v>
      </c>
      <c r="E3247" t="str">
        <f t="shared" si="468"/>
        <v>담화공</v>
      </c>
      <c r="H3247" t="str">
        <f t="shared" si="467"/>
        <v>스토리위즈</v>
      </c>
      <c r="I3247" t="str">
        <f t="shared" si="469"/>
        <v>디버프 마스터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70</v>
      </c>
      <c r="AT3247" t="str">
        <f t="shared" si="470"/>
        <v>9791137602663</v>
      </c>
      <c r="AV3247" t="str">
        <f t="shared" si="471"/>
        <v>판타지 웹소설 &gt; 퓨전 판타지</v>
      </c>
    </row>
    <row r="3248" spans="1:48" x14ac:dyDescent="0.4">
      <c r="A3248">
        <v>2313012849</v>
      </c>
      <c r="B3248">
        <v>2313013409</v>
      </c>
      <c r="C3248" t="str">
        <f>T("디버프 마스터 561화")</f>
        <v>디버프 마스터 561화</v>
      </c>
      <c r="D3248" t="str">
        <f>T("561")</f>
        <v>561</v>
      </c>
      <c r="E3248" t="str">
        <f t="shared" si="468"/>
        <v>담화공</v>
      </c>
      <c r="H3248" t="str">
        <f t="shared" si="467"/>
        <v>스토리위즈</v>
      </c>
      <c r="I3248" t="str">
        <f t="shared" si="469"/>
        <v>디버프 마스터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70</v>
      </c>
      <c r="AT3248" t="str">
        <f t="shared" si="470"/>
        <v>9791137602663</v>
      </c>
      <c r="AV3248" t="str">
        <f t="shared" si="471"/>
        <v>판타지 웹소설 &gt; 퓨전 판타지</v>
      </c>
    </row>
    <row r="3249" spans="1:48" x14ac:dyDescent="0.4">
      <c r="A3249">
        <v>2313012849</v>
      </c>
      <c r="B3249">
        <v>2313013410</v>
      </c>
      <c r="C3249" t="str">
        <f>T("디버프 마스터 562화")</f>
        <v>디버프 마스터 562화</v>
      </c>
      <c r="D3249" t="str">
        <f>T("562")</f>
        <v>562</v>
      </c>
      <c r="E3249" t="str">
        <f t="shared" si="468"/>
        <v>담화공</v>
      </c>
      <c r="H3249" t="str">
        <f t="shared" si="467"/>
        <v>스토리위즈</v>
      </c>
      <c r="I3249" t="str">
        <f t="shared" si="469"/>
        <v>디버프 마스터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70</v>
      </c>
      <c r="AT3249" t="str">
        <f t="shared" si="470"/>
        <v>9791137602663</v>
      </c>
      <c r="AV3249" t="str">
        <f t="shared" si="471"/>
        <v>판타지 웹소설 &gt; 퓨전 판타지</v>
      </c>
    </row>
    <row r="3250" spans="1:48" x14ac:dyDescent="0.4">
      <c r="A3250">
        <v>2313012849</v>
      </c>
      <c r="B3250">
        <v>2313013411</v>
      </c>
      <c r="C3250" t="str">
        <f>T("디버프 마스터 563화")</f>
        <v>디버프 마스터 563화</v>
      </c>
      <c r="D3250" t="str">
        <f>T("563")</f>
        <v>563</v>
      </c>
      <c r="E3250" t="str">
        <f t="shared" si="468"/>
        <v>담화공</v>
      </c>
      <c r="H3250" t="str">
        <f t="shared" si="467"/>
        <v>스토리위즈</v>
      </c>
      <c r="I3250" t="str">
        <f t="shared" si="469"/>
        <v>디버프 마스터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70</v>
      </c>
      <c r="AT3250" t="str">
        <f t="shared" si="470"/>
        <v>9791137602663</v>
      </c>
      <c r="AV3250" t="str">
        <f t="shared" si="471"/>
        <v>판타지 웹소설 &gt; 퓨전 판타지</v>
      </c>
    </row>
    <row r="3251" spans="1:48" x14ac:dyDescent="0.4">
      <c r="A3251">
        <v>2313012849</v>
      </c>
      <c r="B3251">
        <v>2313013412</v>
      </c>
      <c r="C3251" t="str">
        <f>T("디버프 마스터 564화")</f>
        <v>디버프 마스터 564화</v>
      </c>
      <c r="D3251" t="str">
        <f>T("564")</f>
        <v>564</v>
      </c>
      <c r="E3251" t="str">
        <f t="shared" si="468"/>
        <v>담화공</v>
      </c>
      <c r="H3251" t="str">
        <f t="shared" si="467"/>
        <v>스토리위즈</v>
      </c>
      <c r="I3251" t="str">
        <f t="shared" si="469"/>
        <v>디버프 마스터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70</v>
      </c>
      <c r="AT3251" t="str">
        <f t="shared" si="470"/>
        <v>9791137602663</v>
      </c>
      <c r="AV3251" t="str">
        <f t="shared" si="471"/>
        <v>판타지 웹소설 &gt; 퓨전 판타지</v>
      </c>
    </row>
    <row r="3252" spans="1:48" x14ac:dyDescent="0.4">
      <c r="A3252">
        <v>2313012849</v>
      </c>
      <c r="B3252">
        <v>2313013413</v>
      </c>
      <c r="C3252" t="str">
        <f>T("디버프 마스터 565화")</f>
        <v>디버프 마스터 565화</v>
      </c>
      <c r="D3252" t="str">
        <f>T("565")</f>
        <v>565</v>
      </c>
      <c r="E3252" t="str">
        <f t="shared" si="468"/>
        <v>담화공</v>
      </c>
      <c r="H3252" t="str">
        <f t="shared" si="467"/>
        <v>스토리위즈</v>
      </c>
      <c r="I3252" t="str">
        <f t="shared" si="469"/>
        <v>디버프 마스터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70</v>
      </c>
      <c r="AT3252" t="str">
        <f t="shared" si="470"/>
        <v>9791137602663</v>
      </c>
      <c r="AV3252" t="str">
        <f t="shared" si="471"/>
        <v>판타지 웹소설 &gt; 퓨전 판타지</v>
      </c>
    </row>
    <row r="3253" spans="1:48" x14ac:dyDescent="0.4">
      <c r="A3253">
        <v>2313012849</v>
      </c>
      <c r="B3253">
        <v>2313013414</v>
      </c>
      <c r="C3253" t="str">
        <f>T("디버프 마스터 566화")</f>
        <v>디버프 마스터 566화</v>
      </c>
      <c r="D3253" t="str">
        <f>T("566")</f>
        <v>566</v>
      </c>
      <c r="E3253" t="str">
        <f t="shared" si="468"/>
        <v>담화공</v>
      </c>
      <c r="H3253" t="str">
        <f t="shared" si="467"/>
        <v>스토리위즈</v>
      </c>
      <c r="I3253" t="str">
        <f t="shared" si="469"/>
        <v>디버프 마스터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T3253" t="str">
        <f t="shared" si="470"/>
        <v>9791137602663</v>
      </c>
      <c r="AV3253" t="str">
        <f t="shared" si="471"/>
        <v>판타지 웹소설 &gt; 퓨전 판타지</v>
      </c>
    </row>
    <row r="3254" spans="1:48" x14ac:dyDescent="0.4">
      <c r="A3254">
        <v>2313012849</v>
      </c>
      <c r="B3254">
        <v>2313013415</v>
      </c>
      <c r="C3254" t="str">
        <f>T("디버프 마스터 567화")</f>
        <v>디버프 마스터 567화</v>
      </c>
      <c r="D3254" t="str">
        <f>T("567")</f>
        <v>567</v>
      </c>
      <c r="E3254" t="str">
        <f t="shared" si="468"/>
        <v>담화공</v>
      </c>
      <c r="H3254" t="str">
        <f t="shared" si="467"/>
        <v>스토리위즈</v>
      </c>
      <c r="I3254" t="str">
        <f t="shared" si="469"/>
        <v>디버프 마스터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T3254" t="str">
        <f t="shared" si="470"/>
        <v>9791137602663</v>
      </c>
      <c r="AV3254" t="str">
        <f t="shared" si="471"/>
        <v>판타지 웹소설 &gt; 퓨전 판타지</v>
      </c>
    </row>
    <row r="3255" spans="1:48" x14ac:dyDescent="0.4">
      <c r="A3255">
        <v>2313012849</v>
      </c>
      <c r="B3255">
        <v>2313013416</v>
      </c>
      <c r="C3255" t="str">
        <f>T("디버프 마스터 568화")</f>
        <v>디버프 마스터 568화</v>
      </c>
      <c r="D3255" t="str">
        <f>T("568")</f>
        <v>568</v>
      </c>
      <c r="E3255" t="str">
        <f t="shared" si="468"/>
        <v>담화공</v>
      </c>
      <c r="H3255" t="str">
        <f t="shared" si="467"/>
        <v>스토리위즈</v>
      </c>
      <c r="I3255" t="str">
        <f t="shared" si="469"/>
        <v>디버프 마스터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T3255" t="str">
        <f t="shared" si="470"/>
        <v>9791137602663</v>
      </c>
      <c r="AV3255" t="str">
        <f t="shared" si="471"/>
        <v>판타지 웹소설 &gt; 퓨전 판타지</v>
      </c>
    </row>
    <row r="3256" spans="1:48" x14ac:dyDescent="0.4">
      <c r="A3256">
        <v>2313012849</v>
      </c>
      <c r="B3256">
        <v>2313013417</v>
      </c>
      <c r="C3256" t="str">
        <f>T("디버프 마스터 569화")</f>
        <v>디버프 마스터 569화</v>
      </c>
      <c r="D3256" t="str">
        <f>T("569")</f>
        <v>569</v>
      </c>
      <c r="E3256" t="str">
        <f t="shared" si="468"/>
        <v>담화공</v>
      </c>
      <c r="H3256" t="str">
        <f t="shared" si="467"/>
        <v>스토리위즈</v>
      </c>
      <c r="I3256" t="str">
        <f t="shared" si="469"/>
        <v>디버프 마스터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T3256" t="str">
        <f t="shared" si="470"/>
        <v>9791137602663</v>
      </c>
      <c r="AV3256" t="str">
        <f t="shared" si="471"/>
        <v>판타지 웹소설 &gt; 퓨전 판타지</v>
      </c>
    </row>
    <row r="3257" spans="1:48" x14ac:dyDescent="0.4">
      <c r="A3257">
        <v>2313012849</v>
      </c>
      <c r="B3257">
        <v>2313013418</v>
      </c>
      <c r="C3257" t="str">
        <f>T("디버프 마스터 570화")</f>
        <v>디버프 마스터 570화</v>
      </c>
      <c r="D3257" t="str">
        <f>T("570")</f>
        <v>570</v>
      </c>
      <c r="E3257" t="str">
        <f t="shared" si="468"/>
        <v>담화공</v>
      </c>
      <c r="H3257" t="str">
        <f t="shared" ref="H3257:H3320" si="472">T("스토리위즈")</f>
        <v>스토리위즈</v>
      </c>
      <c r="I3257" t="str">
        <f t="shared" si="469"/>
        <v>디버프 마스터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T3257" t="str">
        <f t="shared" si="470"/>
        <v>9791137602663</v>
      </c>
      <c r="AV3257" t="str">
        <f t="shared" si="471"/>
        <v>판타지 웹소설 &gt; 퓨전 판타지</v>
      </c>
    </row>
    <row r="3258" spans="1:48" x14ac:dyDescent="0.4">
      <c r="A3258">
        <v>2313012849</v>
      </c>
      <c r="B3258">
        <v>2313013419</v>
      </c>
      <c r="C3258" t="str">
        <f>T("디버프 마스터 571화")</f>
        <v>디버프 마스터 571화</v>
      </c>
      <c r="D3258" t="str">
        <f>T("571")</f>
        <v>571</v>
      </c>
      <c r="E3258" t="str">
        <f t="shared" si="468"/>
        <v>담화공</v>
      </c>
      <c r="H3258" t="str">
        <f t="shared" si="472"/>
        <v>스토리위즈</v>
      </c>
      <c r="I3258" t="str">
        <f t="shared" si="469"/>
        <v>디버프 마스터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T3258" t="str">
        <f t="shared" si="470"/>
        <v>9791137602663</v>
      </c>
      <c r="AV3258" t="str">
        <f t="shared" si="471"/>
        <v>판타지 웹소설 &gt; 퓨전 판타지</v>
      </c>
    </row>
    <row r="3259" spans="1:48" x14ac:dyDescent="0.4">
      <c r="A3259">
        <v>2313012849</v>
      </c>
      <c r="B3259">
        <v>2313013420</v>
      </c>
      <c r="C3259" t="str">
        <f>T("디버프 마스터 572화")</f>
        <v>디버프 마스터 572화</v>
      </c>
      <c r="D3259" t="str">
        <f>T("572")</f>
        <v>572</v>
      </c>
      <c r="E3259" t="str">
        <f t="shared" si="468"/>
        <v>담화공</v>
      </c>
      <c r="H3259" t="str">
        <f t="shared" si="472"/>
        <v>스토리위즈</v>
      </c>
      <c r="I3259" t="str">
        <f t="shared" si="469"/>
        <v>디버프 마스터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T3259" t="str">
        <f t="shared" si="470"/>
        <v>9791137602663</v>
      </c>
      <c r="AV3259" t="str">
        <f t="shared" si="471"/>
        <v>판타지 웹소설 &gt; 퓨전 판타지</v>
      </c>
    </row>
    <row r="3260" spans="1:48" x14ac:dyDescent="0.4">
      <c r="A3260">
        <v>2313012849</v>
      </c>
      <c r="B3260">
        <v>2313013421</v>
      </c>
      <c r="C3260" t="str">
        <f>T("디버프 마스터 573화")</f>
        <v>디버프 마스터 573화</v>
      </c>
      <c r="D3260" t="str">
        <f>T("573")</f>
        <v>573</v>
      </c>
      <c r="E3260" t="str">
        <f t="shared" si="468"/>
        <v>담화공</v>
      </c>
      <c r="H3260" t="str">
        <f t="shared" si="472"/>
        <v>스토리위즈</v>
      </c>
      <c r="I3260" t="str">
        <f t="shared" si="469"/>
        <v>디버프 마스터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T3260" t="str">
        <f t="shared" si="470"/>
        <v>9791137602663</v>
      </c>
      <c r="AV3260" t="str">
        <f t="shared" si="471"/>
        <v>판타지 웹소설 &gt; 퓨전 판타지</v>
      </c>
    </row>
    <row r="3261" spans="1:48" x14ac:dyDescent="0.4">
      <c r="A3261">
        <v>2313012849</v>
      </c>
      <c r="B3261">
        <v>2313013422</v>
      </c>
      <c r="C3261" t="str">
        <f>T("디버프 마스터 574화")</f>
        <v>디버프 마스터 574화</v>
      </c>
      <c r="D3261" t="str">
        <f>T("574")</f>
        <v>574</v>
      </c>
      <c r="E3261" t="str">
        <f t="shared" si="468"/>
        <v>담화공</v>
      </c>
      <c r="H3261" t="str">
        <f t="shared" si="472"/>
        <v>스토리위즈</v>
      </c>
      <c r="I3261" t="str">
        <f t="shared" si="469"/>
        <v>디버프 마스터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T3261" t="str">
        <f t="shared" si="470"/>
        <v>9791137602663</v>
      </c>
      <c r="AV3261" t="str">
        <f t="shared" si="471"/>
        <v>판타지 웹소설 &gt; 퓨전 판타지</v>
      </c>
    </row>
    <row r="3262" spans="1:48" x14ac:dyDescent="0.4">
      <c r="A3262">
        <v>2313012849</v>
      </c>
      <c r="B3262">
        <v>2313013423</v>
      </c>
      <c r="C3262" t="str">
        <f>T("디버프 마스터 575화")</f>
        <v>디버프 마스터 575화</v>
      </c>
      <c r="D3262" t="str">
        <f>T("575")</f>
        <v>575</v>
      </c>
      <c r="E3262" t="str">
        <f t="shared" si="468"/>
        <v>담화공</v>
      </c>
      <c r="H3262" t="str">
        <f t="shared" si="472"/>
        <v>스토리위즈</v>
      </c>
      <c r="I3262" t="str">
        <f t="shared" si="469"/>
        <v>디버프 마스터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T3262" t="str">
        <f t="shared" si="470"/>
        <v>9791137602663</v>
      </c>
      <c r="AV3262" t="str">
        <f t="shared" si="471"/>
        <v>판타지 웹소설 &gt; 퓨전 판타지</v>
      </c>
    </row>
    <row r="3263" spans="1:48" x14ac:dyDescent="0.4">
      <c r="A3263">
        <v>2313012849</v>
      </c>
      <c r="B3263">
        <v>2313013424</v>
      </c>
      <c r="C3263" t="str">
        <f>T("디버프 마스터 576화")</f>
        <v>디버프 마스터 576화</v>
      </c>
      <c r="D3263" t="str">
        <f>T("576")</f>
        <v>576</v>
      </c>
      <c r="E3263" t="str">
        <f t="shared" si="468"/>
        <v>담화공</v>
      </c>
      <c r="H3263" t="str">
        <f t="shared" si="472"/>
        <v>스토리위즈</v>
      </c>
      <c r="I3263" t="str">
        <f t="shared" si="469"/>
        <v>디버프 마스터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T3263" t="str">
        <f t="shared" si="470"/>
        <v>9791137602663</v>
      </c>
      <c r="AV3263" t="str">
        <f t="shared" si="471"/>
        <v>판타지 웹소설 &gt; 퓨전 판타지</v>
      </c>
    </row>
    <row r="3264" spans="1:48" x14ac:dyDescent="0.4">
      <c r="A3264">
        <v>2313012849</v>
      </c>
      <c r="B3264">
        <v>2313013425</v>
      </c>
      <c r="C3264" t="str">
        <f>T("디버프 마스터 577화")</f>
        <v>디버프 마스터 577화</v>
      </c>
      <c r="D3264" t="str">
        <f>T("577")</f>
        <v>577</v>
      </c>
      <c r="E3264" t="str">
        <f t="shared" si="468"/>
        <v>담화공</v>
      </c>
      <c r="H3264" t="str">
        <f t="shared" si="472"/>
        <v>스토리위즈</v>
      </c>
      <c r="I3264" t="str">
        <f t="shared" si="469"/>
        <v>디버프 마스터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T3264" t="str">
        <f t="shared" si="470"/>
        <v>9791137602663</v>
      </c>
      <c r="AV3264" t="str">
        <f t="shared" si="471"/>
        <v>판타지 웹소설 &gt; 퓨전 판타지</v>
      </c>
    </row>
    <row r="3265" spans="1:48" x14ac:dyDescent="0.4">
      <c r="A3265">
        <v>2313012849</v>
      </c>
      <c r="B3265">
        <v>2313013426</v>
      </c>
      <c r="C3265" t="str">
        <f>T("디버프 마스터 578화")</f>
        <v>디버프 마스터 578화</v>
      </c>
      <c r="D3265" t="str">
        <f>T("578")</f>
        <v>578</v>
      </c>
      <c r="E3265" t="str">
        <f t="shared" si="468"/>
        <v>담화공</v>
      </c>
      <c r="H3265" t="str">
        <f t="shared" si="472"/>
        <v>스토리위즈</v>
      </c>
      <c r="I3265" t="str">
        <f t="shared" si="469"/>
        <v>디버프 마스터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T3265" t="str">
        <f t="shared" si="470"/>
        <v>9791137602663</v>
      </c>
      <c r="AV3265" t="str">
        <f t="shared" si="471"/>
        <v>판타지 웹소설 &gt; 퓨전 판타지</v>
      </c>
    </row>
    <row r="3266" spans="1:48" x14ac:dyDescent="0.4">
      <c r="A3266">
        <v>2313012849</v>
      </c>
      <c r="B3266">
        <v>2313013427</v>
      </c>
      <c r="C3266" t="str">
        <f>T("디버프 마스터 579화")</f>
        <v>디버프 마스터 579화</v>
      </c>
      <c r="D3266" t="str">
        <f>T("579")</f>
        <v>579</v>
      </c>
      <c r="E3266" t="str">
        <f t="shared" si="468"/>
        <v>담화공</v>
      </c>
      <c r="H3266" t="str">
        <f t="shared" si="472"/>
        <v>스토리위즈</v>
      </c>
      <c r="I3266" t="str">
        <f t="shared" si="469"/>
        <v>디버프 마스터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T3266" t="str">
        <f t="shared" si="470"/>
        <v>9791137602663</v>
      </c>
      <c r="AV3266" t="str">
        <f t="shared" si="471"/>
        <v>판타지 웹소설 &gt; 퓨전 판타지</v>
      </c>
    </row>
    <row r="3267" spans="1:48" x14ac:dyDescent="0.4">
      <c r="A3267">
        <v>2313012849</v>
      </c>
      <c r="B3267">
        <v>2313013428</v>
      </c>
      <c r="C3267" t="str">
        <f>T("디버프 마스터 580화")</f>
        <v>디버프 마스터 580화</v>
      </c>
      <c r="D3267" t="str">
        <f>T("580")</f>
        <v>580</v>
      </c>
      <c r="E3267" t="str">
        <f t="shared" si="468"/>
        <v>담화공</v>
      </c>
      <c r="H3267" t="str">
        <f t="shared" si="472"/>
        <v>스토리위즈</v>
      </c>
      <c r="I3267" t="str">
        <f t="shared" si="469"/>
        <v>디버프 마스터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T3267" t="str">
        <f t="shared" si="470"/>
        <v>9791137602663</v>
      </c>
      <c r="AV3267" t="str">
        <f t="shared" si="471"/>
        <v>판타지 웹소설 &gt; 퓨전 판타지</v>
      </c>
    </row>
    <row r="3268" spans="1:48" x14ac:dyDescent="0.4">
      <c r="A3268">
        <v>2313012849</v>
      </c>
      <c r="B3268">
        <v>2313013429</v>
      </c>
      <c r="C3268" t="str">
        <f>T("디버프 마스터 581화")</f>
        <v>디버프 마스터 581화</v>
      </c>
      <c r="D3268" t="str">
        <f>T("581")</f>
        <v>581</v>
      </c>
      <c r="E3268" t="str">
        <f t="shared" si="468"/>
        <v>담화공</v>
      </c>
      <c r="H3268" t="str">
        <f t="shared" si="472"/>
        <v>스토리위즈</v>
      </c>
      <c r="I3268" t="str">
        <f t="shared" si="469"/>
        <v>디버프 마스터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T3268" t="str">
        <f t="shared" si="470"/>
        <v>9791137602663</v>
      </c>
      <c r="AV3268" t="str">
        <f t="shared" si="471"/>
        <v>판타지 웹소설 &gt; 퓨전 판타지</v>
      </c>
    </row>
    <row r="3269" spans="1:48" x14ac:dyDescent="0.4">
      <c r="A3269">
        <v>2313012849</v>
      </c>
      <c r="B3269">
        <v>2313013430</v>
      </c>
      <c r="C3269" t="str">
        <f>T("디버프 마스터 582화")</f>
        <v>디버프 마스터 582화</v>
      </c>
      <c r="D3269" t="str">
        <f>T("582")</f>
        <v>582</v>
      </c>
      <c r="E3269" t="str">
        <f t="shared" si="468"/>
        <v>담화공</v>
      </c>
      <c r="H3269" t="str">
        <f t="shared" si="472"/>
        <v>스토리위즈</v>
      </c>
      <c r="I3269" t="str">
        <f t="shared" si="469"/>
        <v>디버프 마스터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T3269" t="str">
        <f t="shared" si="470"/>
        <v>9791137602663</v>
      </c>
      <c r="AV3269" t="str">
        <f t="shared" si="471"/>
        <v>판타지 웹소설 &gt; 퓨전 판타지</v>
      </c>
    </row>
    <row r="3270" spans="1:48" x14ac:dyDescent="0.4">
      <c r="A3270">
        <v>2313012849</v>
      </c>
      <c r="B3270">
        <v>2313013431</v>
      </c>
      <c r="C3270" t="str">
        <f>T("디버프 마스터 583화")</f>
        <v>디버프 마스터 583화</v>
      </c>
      <c r="D3270" t="str">
        <f>T("583")</f>
        <v>583</v>
      </c>
      <c r="E3270" t="str">
        <f t="shared" si="468"/>
        <v>담화공</v>
      </c>
      <c r="H3270" t="str">
        <f t="shared" si="472"/>
        <v>스토리위즈</v>
      </c>
      <c r="I3270" t="str">
        <f t="shared" si="469"/>
        <v>디버프 마스터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T3270" t="str">
        <f t="shared" si="470"/>
        <v>9791137602663</v>
      </c>
      <c r="AV3270" t="str">
        <f t="shared" si="471"/>
        <v>판타지 웹소설 &gt; 퓨전 판타지</v>
      </c>
    </row>
    <row r="3271" spans="1:48" x14ac:dyDescent="0.4">
      <c r="A3271">
        <v>2313012849</v>
      </c>
      <c r="B3271">
        <v>2313013432</v>
      </c>
      <c r="C3271" t="str">
        <f>T("디버프 마스터 584화")</f>
        <v>디버프 마스터 584화</v>
      </c>
      <c r="D3271" t="str">
        <f>T("584")</f>
        <v>584</v>
      </c>
      <c r="E3271" t="str">
        <f t="shared" si="468"/>
        <v>담화공</v>
      </c>
      <c r="H3271" t="str">
        <f t="shared" si="472"/>
        <v>스토리위즈</v>
      </c>
      <c r="I3271" t="str">
        <f t="shared" si="469"/>
        <v>디버프 마스터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T3271" t="str">
        <f t="shared" si="470"/>
        <v>9791137602663</v>
      </c>
      <c r="AV3271" t="str">
        <f t="shared" si="471"/>
        <v>판타지 웹소설 &gt; 퓨전 판타지</v>
      </c>
    </row>
    <row r="3272" spans="1:48" x14ac:dyDescent="0.4">
      <c r="A3272">
        <v>2313012849</v>
      </c>
      <c r="B3272">
        <v>2313013433</v>
      </c>
      <c r="C3272" t="str">
        <f>T("디버프 마스터 585화")</f>
        <v>디버프 마스터 585화</v>
      </c>
      <c r="D3272" t="str">
        <f>T("585")</f>
        <v>585</v>
      </c>
      <c r="E3272" t="str">
        <f t="shared" ref="E3272:E3335" si="473">T("담화공")</f>
        <v>담화공</v>
      </c>
      <c r="H3272" t="str">
        <f t="shared" si="472"/>
        <v>스토리위즈</v>
      </c>
      <c r="I3272" t="str">
        <f t="shared" ref="I3272:I3335" si="474">T("디버프 마스터")</f>
        <v>디버프 마스터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T3272" t="str">
        <f t="shared" ref="AT3272:AT3335" si="475">T("9791137602663")</f>
        <v>9791137602663</v>
      </c>
      <c r="AV3272" t="str">
        <f t="shared" ref="AV3272:AV3335" si="476">T("판타지 웹소설 &gt; 퓨전 판타지")</f>
        <v>판타지 웹소설 &gt; 퓨전 판타지</v>
      </c>
    </row>
    <row r="3273" spans="1:48" x14ac:dyDescent="0.4">
      <c r="A3273">
        <v>2313012849</v>
      </c>
      <c r="B3273">
        <v>2313013434</v>
      </c>
      <c r="C3273" t="str">
        <f>T("디버프 마스터 586화")</f>
        <v>디버프 마스터 586화</v>
      </c>
      <c r="D3273" t="str">
        <f>T("586")</f>
        <v>586</v>
      </c>
      <c r="E3273" t="str">
        <f t="shared" si="473"/>
        <v>담화공</v>
      </c>
      <c r="H3273" t="str">
        <f t="shared" si="472"/>
        <v>스토리위즈</v>
      </c>
      <c r="I3273" t="str">
        <f t="shared" si="474"/>
        <v>디버프 마스터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T3273" t="str">
        <f t="shared" si="475"/>
        <v>9791137602663</v>
      </c>
      <c r="AV3273" t="str">
        <f t="shared" si="476"/>
        <v>판타지 웹소설 &gt; 퓨전 판타지</v>
      </c>
    </row>
    <row r="3274" spans="1:48" x14ac:dyDescent="0.4">
      <c r="A3274">
        <v>2313012849</v>
      </c>
      <c r="B3274">
        <v>2313013435</v>
      </c>
      <c r="C3274" t="str">
        <f>T("디버프 마스터 587화")</f>
        <v>디버프 마스터 587화</v>
      </c>
      <c r="D3274" t="str">
        <f>T("587")</f>
        <v>587</v>
      </c>
      <c r="E3274" t="str">
        <f t="shared" si="473"/>
        <v>담화공</v>
      </c>
      <c r="H3274" t="str">
        <f t="shared" si="472"/>
        <v>스토리위즈</v>
      </c>
      <c r="I3274" t="str">
        <f t="shared" si="474"/>
        <v>디버프 마스터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T3274" t="str">
        <f t="shared" si="475"/>
        <v>9791137602663</v>
      </c>
      <c r="AV3274" t="str">
        <f t="shared" si="476"/>
        <v>판타지 웹소설 &gt; 퓨전 판타지</v>
      </c>
    </row>
    <row r="3275" spans="1:48" x14ac:dyDescent="0.4">
      <c r="A3275">
        <v>2313012849</v>
      </c>
      <c r="B3275">
        <v>2313013436</v>
      </c>
      <c r="C3275" t="str">
        <f>T("디버프 마스터 588화")</f>
        <v>디버프 마스터 588화</v>
      </c>
      <c r="D3275" t="str">
        <f>T("588")</f>
        <v>588</v>
      </c>
      <c r="E3275" t="str">
        <f t="shared" si="473"/>
        <v>담화공</v>
      </c>
      <c r="H3275" t="str">
        <f t="shared" si="472"/>
        <v>스토리위즈</v>
      </c>
      <c r="I3275" t="str">
        <f t="shared" si="474"/>
        <v>디버프 마스터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T3275" t="str">
        <f t="shared" si="475"/>
        <v>9791137602663</v>
      </c>
      <c r="AV3275" t="str">
        <f t="shared" si="476"/>
        <v>판타지 웹소설 &gt; 퓨전 판타지</v>
      </c>
    </row>
    <row r="3276" spans="1:48" x14ac:dyDescent="0.4">
      <c r="A3276">
        <v>2313012849</v>
      </c>
      <c r="B3276">
        <v>2313013437</v>
      </c>
      <c r="C3276" t="str">
        <f>T("디버프 마스터 589화")</f>
        <v>디버프 마스터 589화</v>
      </c>
      <c r="D3276" t="str">
        <f>T("589")</f>
        <v>589</v>
      </c>
      <c r="E3276" t="str">
        <f t="shared" si="473"/>
        <v>담화공</v>
      </c>
      <c r="H3276" t="str">
        <f t="shared" si="472"/>
        <v>스토리위즈</v>
      </c>
      <c r="I3276" t="str">
        <f t="shared" si="474"/>
        <v>디버프 마스터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T3276" t="str">
        <f t="shared" si="475"/>
        <v>9791137602663</v>
      </c>
      <c r="AV3276" t="str">
        <f t="shared" si="476"/>
        <v>판타지 웹소설 &gt; 퓨전 판타지</v>
      </c>
    </row>
    <row r="3277" spans="1:48" x14ac:dyDescent="0.4">
      <c r="A3277">
        <v>2313012849</v>
      </c>
      <c r="B3277">
        <v>2313013438</v>
      </c>
      <c r="C3277" t="str">
        <f>T("디버프 마스터 590화")</f>
        <v>디버프 마스터 590화</v>
      </c>
      <c r="D3277" t="str">
        <f>T("590")</f>
        <v>590</v>
      </c>
      <c r="E3277" t="str">
        <f t="shared" si="473"/>
        <v>담화공</v>
      </c>
      <c r="H3277" t="str">
        <f t="shared" si="472"/>
        <v>스토리위즈</v>
      </c>
      <c r="I3277" t="str">
        <f t="shared" si="474"/>
        <v>디버프 마스터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T3277" t="str">
        <f t="shared" si="475"/>
        <v>9791137602663</v>
      </c>
      <c r="AV3277" t="str">
        <f t="shared" si="476"/>
        <v>판타지 웹소설 &gt; 퓨전 판타지</v>
      </c>
    </row>
    <row r="3278" spans="1:48" x14ac:dyDescent="0.4">
      <c r="A3278">
        <v>2313012849</v>
      </c>
      <c r="B3278">
        <v>2313013439</v>
      </c>
      <c r="C3278" t="str">
        <f>T("디버프 마스터 591화")</f>
        <v>디버프 마스터 591화</v>
      </c>
      <c r="D3278" t="str">
        <f>T("591")</f>
        <v>591</v>
      </c>
      <c r="E3278" t="str">
        <f t="shared" si="473"/>
        <v>담화공</v>
      </c>
      <c r="H3278" t="str">
        <f t="shared" si="472"/>
        <v>스토리위즈</v>
      </c>
      <c r="I3278" t="str">
        <f t="shared" si="474"/>
        <v>디버프 마스터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T3278" t="str">
        <f t="shared" si="475"/>
        <v>9791137602663</v>
      </c>
      <c r="AV3278" t="str">
        <f t="shared" si="476"/>
        <v>판타지 웹소설 &gt; 퓨전 판타지</v>
      </c>
    </row>
    <row r="3279" spans="1:48" x14ac:dyDescent="0.4">
      <c r="A3279">
        <v>2313012849</v>
      </c>
      <c r="B3279">
        <v>2313013440</v>
      </c>
      <c r="C3279" t="str">
        <f>T("디버프 마스터 592화")</f>
        <v>디버프 마스터 592화</v>
      </c>
      <c r="D3279" t="str">
        <f>T("592")</f>
        <v>592</v>
      </c>
      <c r="E3279" t="str">
        <f t="shared" si="473"/>
        <v>담화공</v>
      </c>
      <c r="H3279" t="str">
        <f t="shared" si="472"/>
        <v>스토리위즈</v>
      </c>
      <c r="I3279" t="str">
        <f t="shared" si="474"/>
        <v>디버프 마스터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T3279" t="str">
        <f t="shared" si="475"/>
        <v>9791137602663</v>
      </c>
      <c r="AV3279" t="str">
        <f t="shared" si="476"/>
        <v>판타지 웹소설 &gt; 퓨전 판타지</v>
      </c>
    </row>
    <row r="3280" spans="1:48" x14ac:dyDescent="0.4">
      <c r="A3280">
        <v>2313012849</v>
      </c>
      <c r="B3280">
        <v>2313013441</v>
      </c>
      <c r="C3280" t="str">
        <f>T("디버프 마스터 593화")</f>
        <v>디버프 마스터 593화</v>
      </c>
      <c r="D3280" t="str">
        <f>T("593")</f>
        <v>593</v>
      </c>
      <c r="E3280" t="str">
        <f t="shared" si="473"/>
        <v>담화공</v>
      </c>
      <c r="H3280" t="str">
        <f t="shared" si="472"/>
        <v>스토리위즈</v>
      </c>
      <c r="I3280" t="str">
        <f t="shared" si="474"/>
        <v>디버프 마스터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T3280" t="str">
        <f t="shared" si="475"/>
        <v>9791137602663</v>
      </c>
      <c r="AV3280" t="str">
        <f t="shared" si="476"/>
        <v>판타지 웹소설 &gt; 퓨전 판타지</v>
      </c>
    </row>
    <row r="3281" spans="1:48" x14ac:dyDescent="0.4">
      <c r="A3281">
        <v>2313012849</v>
      </c>
      <c r="B3281">
        <v>2313013442</v>
      </c>
      <c r="C3281" t="str">
        <f>T("디버프 마스터 594화")</f>
        <v>디버프 마스터 594화</v>
      </c>
      <c r="D3281" t="str">
        <f>T("594")</f>
        <v>594</v>
      </c>
      <c r="E3281" t="str">
        <f t="shared" si="473"/>
        <v>담화공</v>
      </c>
      <c r="H3281" t="str">
        <f t="shared" si="472"/>
        <v>스토리위즈</v>
      </c>
      <c r="I3281" t="str">
        <f t="shared" si="474"/>
        <v>디버프 마스터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T3281" t="str">
        <f t="shared" si="475"/>
        <v>9791137602663</v>
      </c>
      <c r="AV3281" t="str">
        <f t="shared" si="476"/>
        <v>판타지 웹소설 &gt; 퓨전 판타지</v>
      </c>
    </row>
    <row r="3282" spans="1:48" x14ac:dyDescent="0.4">
      <c r="A3282">
        <v>2313012849</v>
      </c>
      <c r="B3282">
        <v>2313013443</v>
      </c>
      <c r="C3282" t="str">
        <f>T("디버프 마스터 595화")</f>
        <v>디버프 마스터 595화</v>
      </c>
      <c r="D3282" t="str">
        <f>T("595")</f>
        <v>595</v>
      </c>
      <c r="E3282" t="str">
        <f t="shared" si="473"/>
        <v>담화공</v>
      </c>
      <c r="H3282" t="str">
        <f t="shared" si="472"/>
        <v>스토리위즈</v>
      </c>
      <c r="I3282" t="str">
        <f t="shared" si="474"/>
        <v>디버프 마스터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T3282" t="str">
        <f t="shared" si="475"/>
        <v>9791137602663</v>
      </c>
      <c r="AV3282" t="str">
        <f t="shared" si="476"/>
        <v>판타지 웹소설 &gt; 퓨전 판타지</v>
      </c>
    </row>
    <row r="3283" spans="1:48" x14ac:dyDescent="0.4">
      <c r="A3283">
        <v>2313012849</v>
      </c>
      <c r="B3283">
        <v>2313013444</v>
      </c>
      <c r="C3283" t="str">
        <f>T("디버프 마스터 596화")</f>
        <v>디버프 마스터 596화</v>
      </c>
      <c r="D3283" t="str">
        <f>T("596")</f>
        <v>596</v>
      </c>
      <c r="E3283" t="str">
        <f t="shared" si="473"/>
        <v>담화공</v>
      </c>
      <c r="H3283" t="str">
        <f t="shared" si="472"/>
        <v>스토리위즈</v>
      </c>
      <c r="I3283" t="str">
        <f t="shared" si="474"/>
        <v>디버프 마스터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T3283" t="str">
        <f t="shared" si="475"/>
        <v>9791137602663</v>
      </c>
      <c r="AV3283" t="str">
        <f t="shared" si="476"/>
        <v>판타지 웹소설 &gt; 퓨전 판타지</v>
      </c>
    </row>
    <row r="3284" spans="1:48" x14ac:dyDescent="0.4">
      <c r="A3284">
        <v>2313012849</v>
      </c>
      <c r="B3284">
        <v>2313013445</v>
      </c>
      <c r="C3284" t="str">
        <f>T("디버프 마스터 597화")</f>
        <v>디버프 마스터 597화</v>
      </c>
      <c r="D3284" t="str">
        <f>T("597")</f>
        <v>597</v>
      </c>
      <c r="E3284" t="str">
        <f t="shared" si="473"/>
        <v>담화공</v>
      </c>
      <c r="H3284" t="str">
        <f t="shared" si="472"/>
        <v>스토리위즈</v>
      </c>
      <c r="I3284" t="str">
        <f t="shared" si="474"/>
        <v>디버프 마스터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 t="shared" si="475"/>
        <v>9791137602663</v>
      </c>
      <c r="AV3284" t="str">
        <f t="shared" si="476"/>
        <v>판타지 웹소설 &gt; 퓨전 판타지</v>
      </c>
    </row>
    <row r="3285" spans="1:48" x14ac:dyDescent="0.4">
      <c r="A3285">
        <v>2313012849</v>
      </c>
      <c r="B3285">
        <v>2313013446</v>
      </c>
      <c r="C3285" t="str">
        <f>T("디버프 마스터 598화")</f>
        <v>디버프 마스터 598화</v>
      </c>
      <c r="D3285" t="str">
        <f>T("598")</f>
        <v>598</v>
      </c>
      <c r="E3285" t="str">
        <f t="shared" si="473"/>
        <v>담화공</v>
      </c>
      <c r="H3285" t="str">
        <f t="shared" si="472"/>
        <v>스토리위즈</v>
      </c>
      <c r="I3285" t="str">
        <f t="shared" si="474"/>
        <v>디버프 마스터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 t="shared" si="475"/>
        <v>9791137602663</v>
      </c>
      <c r="AV3285" t="str">
        <f t="shared" si="476"/>
        <v>판타지 웹소설 &gt; 퓨전 판타지</v>
      </c>
    </row>
    <row r="3286" spans="1:48" x14ac:dyDescent="0.4">
      <c r="A3286">
        <v>2313012849</v>
      </c>
      <c r="B3286">
        <v>2313013447</v>
      </c>
      <c r="C3286" t="str">
        <f>T("디버프 마스터 599화")</f>
        <v>디버프 마스터 599화</v>
      </c>
      <c r="D3286" t="str">
        <f>T("599")</f>
        <v>599</v>
      </c>
      <c r="E3286" t="str">
        <f t="shared" si="473"/>
        <v>담화공</v>
      </c>
      <c r="H3286" t="str">
        <f t="shared" si="472"/>
        <v>스토리위즈</v>
      </c>
      <c r="I3286" t="str">
        <f t="shared" si="474"/>
        <v>디버프 마스터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T3286" t="str">
        <f t="shared" si="475"/>
        <v>9791137602663</v>
      </c>
      <c r="AV3286" t="str">
        <f t="shared" si="476"/>
        <v>판타지 웹소설 &gt; 퓨전 판타지</v>
      </c>
    </row>
    <row r="3287" spans="1:48" x14ac:dyDescent="0.4">
      <c r="A3287">
        <v>2313012849</v>
      </c>
      <c r="B3287">
        <v>2313013448</v>
      </c>
      <c r="C3287" t="str">
        <f>T("디버프 마스터 600화")</f>
        <v>디버프 마스터 600화</v>
      </c>
      <c r="D3287" t="str">
        <f>T("600")</f>
        <v>600</v>
      </c>
      <c r="E3287" t="str">
        <f t="shared" si="473"/>
        <v>담화공</v>
      </c>
      <c r="H3287" t="str">
        <f t="shared" si="472"/>
        <v>스토리위즈</v>
      </c>
      <c r="I3287" t="str">
        <f t="shared" si="474"/>
        <v>디버프 마스터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T3287" t="str">
        <f t="shared" si="475"/>
        <v>9791137602663</v>
      </c>
      <c r="AV3287" t="str">
        <f t="shared" si="476"/>
        <v>판타지 웹소설 &gt; 퓨전 판타지</v>
      </c>
    </row>
    <row r="3288" spans="1:48" x14ac:dyDescent="0.4">
      <c r="A3288">
        <v>2313012849</v>
      </c>
      <c r="B3288">
        <v>2313013449</v>
      </c>
      <c r="C3288" t="str">
        <f>T("디버프 마스터 601화")</f>
        <v>디버프 마스터 601화</v>
      </c>
      <c r="D3288" t="str">
        <f>T("601")</f>
        <v>601</v>
      </c>
      <c r="E3288" t="str">
        <f t="shared" si="473"/>
        <v>담화공</v>
      </c>
      <c r="H3288" t="str">
        <f t="shared" si="472"/>
        <v>스토리위즈</v>
      </c>
      <c r="I3288" t="str">
        <f t="shared" si="474"/>
        <v>디버프 마스터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T3288" t="str">
        <f t="shared" si="475"/>
        <v>9791137602663</v>
      </c>
      <c r="AV3288" t="str">
        <f t="shared" si="476"/>
        <v>판타지 웹소설 &gt; 퓨전 판타지</v>
      </c>
    </row>
    <row r="3289" spans="1:48" x14ac:dyDescent="0.4">
      <c r="A3289">
        <v>2313012849</v>
      </c>
      <c r="B3289">
        <v>2313013450</v>
      </c>
      <c r="C3289" t="str">
        <f>T("디버프 마스터 602화")</f>
        <v>디버프 마스터 602화</v>
      </c>
      <c r="D3289" t="str">
        <f>T("602")</f>
        <v>602</v>
      </c>
      <c r="E3289" t="str">
        <f t="shared" si="473"/>
        <v>담화공</v>
      </c>
      <c r="H3289" t="str">
        <f t="shared" si="472"/>
        <v>스토리위즈</v>
      </c>
      <c r="I3289" t="str">
        <f t="shared" si="474"/>
        <v>디버프 마스터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T3289" t="str">
        <f t="shared" si="475"/>
        <v>9791137602663</v>
      </c>
      <c r="AV3289" t="str">
        <f t="shared" si="476"/>
        <v>판타지 웹소설 &gt; 퓨전 판타지</v>
      </c>
    </row>
    <row r="3290" spans="1:48" x14ac:dyDescent="0.4">
      <c r="A3290">
        <v>2313012849</v>
      </c>
      <c r="B3290">
        <v>2313013451</v>
      </c>
      <c r="C3290" t="str">
        <f>T("디버프 마스터 603화")</f>
        <v>디버프 마스터 603화</v>
      </c>
      <c r="D3290" t="str">
        <f>T("603")</f>
        <v>603</v>
      </c>
      <c r="E3290" t="str">
        <f t="shared" si="473"/>
        <v>담화공</v>
      </c>
      <c r="H3290" t="str">
        <f t="shared" si="472"/>
        <v>스토리위즈</v>
      </c>
      <c r="I3290" t="str">
        <f t="shared" si="474"/>
        <v>디버프 마스터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T3290" t="str">
        <f t="shared" si="475"/>
        <v>9791137602663</v>
      </c>
      <c r="AV3290" t="str">
        <f t="shared" si="476"/>
        <v>판타지 웹소설 &gt; 퓨전 판타지</v>
      </c>
    </row>
    <row r="3291" spans="1:48" x14ac:dyDescent="0.4">
      <c r="A3291">
        <v>2313012849</v>
      </c>
      <c r="B3291">
        <v>2313013452</v>
      </c>
      <c r="C3291" t="str">
        <f>T("디버프 마스터 604화")</f>
        <v>디버프 마스터 604화</v>
      </c>
      <c r="D3291" t="str">
        <f>T("604")</f>
        <v>604</v>
      </c>
      <c r="E3291" t="str">
        <f t="shared" si="473"/>
        <v>담화공</v>
      </c>
      <c r="H3291" t="str">
        <f t="shared" si="472"/>
        <v>스토리위즈</v>
      </c>
      <c r="I3291" t="str">
        <f t="shared" si="474"/>
        <v>디버프 마스터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T3291" t="str">
        <f t="shared" si="475"/>
        <v>9791137602663</v>
      </c>
      <c r="AV3291" t="str">
        <f t="shared" si="476"/>
        <v>판타지 웹소설 &gt; 퓨전 판타지</v>
      </c>
    </row>
    <row r="3292" spans="1:48" x14ac:dyDescent="0.4">
      <c r="A3292">
        <v>2313012849</v>
      </c>
      <c r="B3292">
        <v>2313013453</v>
      </c>
      <c r="C3292" t="str">
        <f>T("디버프 마스터 605화")</f>
        <v>디버프 마스터 605화</v>
      </c>
      <c r="D3292" t="str">
        <f>T("605")</f>
        <v>605</v>
      </c>
      <c r="E3292" t="str">
        <f t="shared" si="473"/>
        <v>담화공</v>
      </c>
      <c r="H3292" t="str">
        <f t="shared" si="472"/>
        <v>스토리위즈</v>
      </c>
      <c r="I3292" t="str">
        <f t="shared" si="474"/>
        <v>디버프 마스터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T3292" t="str">
        <f t="shared" si="475"/>
        <v>9791137602663</v>
      </c>
      <c r="AV3292" t="str">
        <f t="shared" si="476"/>
        <v>판타지 웹소설 &gt; 퓨전 판타지</v>
      </c>
    </row>
    <row r="3293" spans="1:48" x14ac:dyDescent="0.4">
      <c r="A3293">
        <v>2313012849</v>
      </c>
      <c r="B3293">
        <v>2313013454</v>
      </c>
      <c r="C3293" t="str">
        <f>T("디버프 마스터 606화")</f>
        <v>디버프 마스터 606화</v>
      </c>
      <c r="D3293" t="str">
        <f>T("606")</f>
        <v>606</v>
      </c>
      <c r="E3293" t="str">
        <f t="shared" si="473"/>
        <v>담화공</v>
      </c>
      <c r="H3293" t="str">
        <f t="shared" si="472"/>
        <v>스토리위즈</v>
      </c>
      <c r="I3293" t="str">
        <f t="shared" si="474"/>
        <v>디버프 마스터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T3293" t="str">
        <f t="shared" si="475"/>
        <v>9791137602663</v>
      </c>
      <c r="AV3293" t="str">
        <f t="shared" si="476"/>
        <v>판타지 웹소설 &gt; 퓨전 판타지</v>
      </c>
    </row>
    <row r="3294" spans="1:48" x14ac:dyDescent="0.4">
      <c r="A3294">
        <v>2313012849</v>
      </c>
      <c r="B3294">
        <v>2313013455</v>
      </c>
      <c r="C3294" t="str">
        <f>T("디버프 마스터 607화")</f>
        <v>디버프 마스터 607화</v>
      </c>
      <c r="D3294" t="str">
        <f>T("607")</f>
        <v>607</v>
      </c>
      <c r="E3294" t="str">
        <f t="shared" si="473"/>
        <v>담화공</v>
      </c>
      <c r="H3294" t="str">
        <f t="shared" si="472"/>
        <v>스토리위즈</v>
      </c>
      <c r="I3294" t="str">
        <f t="shared" si="474"/>
        <v>디버프 마스터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T3294" t="str">
        <f t="shared" si="475"/>
        <v>9791137602663</v>
      </c>
      <c r="AV3294" t="str">
        <f t="shared" si="476"/>
        <v>판타지 웹소설 &gt; 퓨전 판타지</v>
      </c>
    </row>
    <row r="3295" spans="1:48" x14ac:dyDescent="0.4">
      <c r="A3295">
        <v>2313012849</v>
      </c>
      <c r="B3295">
        <v>2313013456</v>
      </c>
      <c r="C3295" t="str">
        <f>T("디버프 마스터 608화")</f>
        <v>디버프 마스터 608화</v>
      </c>
      <c r="D3295" t="str">
        <f>T("608")</f>
        <v>608</v>
      </c>
      <c r="E3295" t="str">
        <f t="shared" si="473"/>
        <v>담화공</v>
      </c>
      <c r="H3295" t="str">
        <f t="shared" si="472"/>
        <v>스토리위즈</v>
      </c>
      <c r="I3295" t="str">
        <f t="shared" si="474"/>
        <v>디버프 마스터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T3295" t="str">
        <f t="shared" si="475"/>
        <v>9791137602663</v>
      </c>
      <c r="AV3295" t="str">
        <f t="shared" si="476"/>
        <v>판타지 웹소설 &gt; 퓨전 판타지</v>
      </c>
    </row>
    <row r="3296" spans="1:48" x14ac:dyDescent="0.4">
      <c r="A3296">
        <v>2313012849</v>
      </c>
      <c r="B3296">
        <v>2313013457</v>
      </c>
      <c r="C3296" t="str">
        <f>T("디버프 마스터 609화")</f>
        <v>디버프 마스터 609화</v>
      </c>
      <c r="D3296" t="str">
        <f>T("609")</f>
        <v>609</v>
      </c>
      <c r="E3296" t="str">
        <f t="shared" si="473"/>
        <v>담화공</v>
      </c>
      <c r="H3296" t="str">
        <f t="shared" si="472"/>
        <v>스토리위즈</v>
      </c>
      <c r="I3296" t="str">
        <f t="shared" si="474"/>
        <v>디버프 마스터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T3296" t="str">
        <f t="shared" si="475"/>
        <v>9791137602663</v>
      </c>
      <c r="AV3296" t="str">
        <f t="shared" si="476"/>
        <v>판타지 웹소설 &gt; 퓨전 판타지</v>
      </c>
    </row>
    <row r="3297" spans="1:48" x14ac:dyDescent="0.4">
      <c r="A3297">
        <v>2313012849</v>
      </c>
      <c r="B3297">
        <v>2313013458</v>
      </c>
      <c r="C3297" t="str">
        <f>T("디버프 마스터 610화")</f>
        <v>디버프 마스터 610화</v>
      </c>
      <c r="D3297" t="str">
        <f>T("610")</f>
        <v>610</v>
      </c>
      <c r="E3297" t="str">
        <f t="shared" si="473"/>
        <v>담화공</v>
      </c>
      <c r="H3297" t="str">
        <f t="shared" si="472"/>
        <v>스토리위즈</v>
      </c>
      <c r="I3297" t="str">
        <f t="shared" si="474"/>
        <v>디버프 마스터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T3297" t="str">
        <f t="shared" si="475"/>
        <v>9791137602663</v>
      </c>
      <c r="AV3297" t="str">
        <f t="shared" si="476"/>
        <v>판타지 웹소설 &gt; 퓨전 판타지</v>
      </c>
    </row>
    <row r="3298" spans="1:48" x14ac:dyDescent="0.4">
      <c r="A3298">
        <v>2313012849</v>
      </c>
      <c r="B3298">
        <v>2313013459</v>
      </c>
      <c r="C3298" t="str">
        <f>T("디버프 마스터 611화")</f>
        <v>디버프 마스터 611화</v>
      </c>
      <c r="D3298" t="str">
        <f>T("611")</f>
        <v>611</v>
      </c>
      <c r="E3298" t="str">
        <f t="shared" si="473"/>
        <v>담화공</v>
      </c>
      <c r="H3298" t="str">
        <f t="shared" si="472"/>
        <v>스토리위즈</v>
      </c>
      <c r="I3298" t="str">
        <f t="shared" si="474"/>
        <v>디버프 마스터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T3298" t="str">
        <f t="shared" si="475"/>
        <v>9791137602663</v>
      </c>
      <c r="AV3298" t="str">
        <f t="shared" si="476"/>
        <v>판타지 웹소설 &gt; 퓨전 판타지</v>
      </c>
    </row>
    <row r="3299" spans="1:48" x14ac:dyDescent="0.4">
      <c r="A3299">
        <v>2313012849</v>
      </c>
      <c r="B3299">
        <v>2313013460</v>
      </c>
      <c r="C3299" t="str">
        <f>T("디버프 마스터 612화")</f>
        <v>디버프 마스터 612화</v>
      </c>
      <c r="D3299" t="str">
        <f>T("612")</f>
        <v>612</v>
      </c>
      <c r="E3299" t="str">
        <f t="shared" si="473"/>
        <v>담화공</v>
      </c>
      <c r="H3299" t="str">
        <f t="shared" si="472"/>
        <v>스토리위즈</v>
      </c>
      <c r="I3299" t="str">
        <f t="shared" si="474"/>
        <v>디버프 마스터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T3299" t="str">
        <f t="shared" si="475"/>
        <v>9791137602663</v>
      </c>
      <c r="AV3299" t="str">
        <f t="shared" si="476"/>
        <v>판타지 웹소설 &gt; 퓨전 판타지</v>
      </c>
    </row>
    <row r="3300" spans="1:48" x14ac:dyDescent="0.4">
      <c r="A3300">
        <v>2313012849</v>
      </c>
      <c r="B3300">
        <v>2313013461</v>
      </c>
      <c r="C3300" t="str">
        <f>T("디버프 마스터 613화")</f>
        <v>디버프 마스터 613화</v>
      </c>
      <c r="D3300" t="str">
        <f>T("613")</f>
        <v>613</v>
      </c>
      <c r="E3300" t="str">
        <f t="shared" si="473"/>
        <v>담화공</v>
      </c>
      <c r="H3300" t="str">
        <f t="shared" si="472"/>
        <v>스토리위즈</v>
      </c>
      <c r="I3300" t="str">
        <f t="shared" si="474"/>
        <v>디버프 마스터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T3300" t="str">
        <f t="shared" si="475"/>
        <v>9791137602663</v>
      </c>
      <c r="AV3300" t="str">
        <f t="shared" si="476"/>
        <v>판타지 웹소설 &gt; 퓨전 판타지</v>
      </c>
    </row>
    <row r="3301" spans="1:48" x14ac:dyDescent="0.4">
      <c r="A3301">
        <v>2313012849</v>
      </c>
      <c r="B3301">
        <v>2313013462</v>
      </c>
      <c r="C3301" t="str">
        <f>T("디버프 마스터 614화")</f>
        <v>디버프 마스터 614화</v>
      </c>
      <c r="D3301" t="str">
        <f>T("614")</f>
        <v>614</v>
      </c>
      <c r="E3301" t="str">
        <f t="shared" si="473"/>
        <v>담화공</v>
      </c>
      <c r="H3301" t="str">
        <f t="shared" si="472"/>
        <v>스토리위즈</v>
      </c>
      <c r="I3301" t="str">
        <f t="shared" si="474"/>
        <v>디버프 마스터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T3301" t="str">
        <f t="shared" si="475"/>
        <v>9791137602663</v>
      </c>
      <c r="AV3301" t="str">
        <f t="shared" si="476"/>
        <v>판타지 웹소설 &gt; 퓨전 판타지</v>
      </c>
    </row>
    <row r="3302" spans="1:48" x14ac:dyDescent="0.4">
      <c r="A3302">
        <v>2313012849</v>
      </c>
      <c r="B3302">
        <v>2313013463</v>
      </c>
      <c r="C3302" t="str">
        <f>T("디버프 마스터 615화")</f>
        <v>디버프 마스터 615화</v>
      </c>
      <c r="D3302" t="str">
        <f>T("615")</f>
        <v>615</v>
      </c>
      <c r="E3302" t="str">
        <f t="shared" si="473"/>
        <v>담화공</v>
      </c>
      <c r="H3302" t="str">
        <f t="shared" si="472"/>
        <v>스토리위즈</v>
      </c>
      <c r="I3302" t="str">
        <f t="shared" si="474"/>
        <v>디버프 마스터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T3302" t="str">
        <f t="shared" si="475"/>
        <v>9791137602663</v>
      </c>
      <c r="AV3302" t="str">
        <f t="shared" si="476"/>
        <v>판타지 웹소설 &gt; 퓨전 판타지</v>
      </c>
    </row>
    <row r="3303" spans="1:48" x14ac:dyDescent="0.4">
      <c r="A3303">
        <v>2313012849</v>
      </c>
      <c r="B3303">
        <v>2313013464</v>
      </c>
      <c r="C3303" t="str">
        <f>T("디버프 마스터 616화")</f>
        <v>디버프 마스터 616화</v>
      </c>
      <c r="D3303" t="str">
        <f>T("616")</f>
        <v>616</v>
      </c>
      <c r="E3303" t="str">
        <f t="shared" si="473"/>
        <v>담화공</v>
      </c>
      <c r="H3303" t="str">
        <f t="shared" si="472"/>
        <v>스토리위즈</v>
      </c>
      <c r="I3303" t="str">
        <f t="shared" si="474"/>
        <v>디버프 마스터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T3303" t="str">
        <f t="shared" si="475"/>
        <v>9791137602663</v>
      </c>
      <c r="AV3303" t="str">
        <f t="shared" si="476"/>
        <v>판타지 웹소설 &gt; 퓨전 판타지</v>
      </c>
    </row>
    <row r="3304" spans="1:48" x14ac:dyDescent="0.4">
      <c r="A3304">
        <v>2313012849</v>
      </c>
      <c r="B3304">
        <v>2313013465</v>
      </c>
      <c r="C3304" t="str">
        <f>T("디버프 마스터 617화")</f>
        <v>디버프 마스터 617화</v>
      </c>
      <c r="D3304" t="str">
        <f>T("617")</f>
        <v>617</v>
      </c>
      <c r="E3304" t="str">
        <f t="shared" si="473"/>
        <v>담화공</v>
      </c>
      <c r="H3304" t="str">
        <f t="shared" si="472"/>
        <v>스토리위즈</v>
      </c>
      <c r="I3304" t="str">
        <f t="shared" si="474"/>
        <v>디버프 마스터</v>
      </c>
      <c r="J3304">
        <v>100</v>
      </c>
      <c r="K3304">
        <v>100</v>
      </c>
      <c r="L3304">
        <v>1</v>
      </c>
      <c r="M3304">
        <v>0</v>
      </c>
      <c r="N3304">
        <v>100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200</v>
      </c>
      <c r="AH3304">
        <v>2</v>
      </c>
      <c r="AI3304">
        <v>0</v>
      </c>
      <c r="AJ3304">
        <v>0</v>
      </c>
      <c r="AK3304">
        <v>200</v>
      </c>
      <c r="AL3304">
        <v>0</v>
      </c>
      <c r="AM3304">
        <v>0</v>
      </c>
      <c r="AN3304">
        <v>0</v>
      </c>
      <c r="AO3304">
        <v>0</v>
      </c>
      <c r="AP3304">
        <v>140</v>
      </c>
      <c r="AT3304" t="str">
        <f t="shared" si="475"/>
        <v>9791137602663</v>
      </c>
      <c r="AV3304" t="str">
        <f t="shared" si="476"/>
        <v>판타지 웹소설 &gt; 퓨전 판타지</v>
      </c>
    </row>
    <row r="3305" spans="1:48" x14ac:dyDescent="0.4">
      <c r="A3305">
        <v>2313012849</v>
      </c>
      <c r="B3305">
        <v>2313013466</v>
      </c>
      <c r="C3305" t="str">
        <f>T("디버프 마스터 618화")</f>
        <v>디버프 마스터 618화</v>
      </c>
      <c r="D3305" t="str">
        <f>T("618")</f>
        <v>618</v>
      </c>
      <c r="E3305" t="str">
        <f t="shared" si="473"/>
        <v>담화공</v>
      </c>
      <c r="H3305" t="str">
        <f t="shared" si="472"/>
        <v>스토리위즈</v>
      </c>
      <c r="I3305" t="str">
        <f t="shared" si="474"/>
        <v>디버프 마스터</v>
      </c>
      <c r="J3305">
        <v>100</v>
      </c>
      <c r="K3305">
        <v>100</v>
      </c>
      <c r="L3305">
        <v>1</v>
      </c>
      <c r="M3305">
        <v>0</v>
      </c>
      <c r="N3305">
        <v>100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200</v>
      </c>
      <c r="AH3305">
        <v>2</v>
      </c>
      <c r="AI3305">
        <v>0</v>
      </c>
      <c r="AJ3305">
        <v>0</v>
      </c>
      <c r="AK3305">
        <v>200</v>
      </c>
      <c r="AL3305">
        <v>0</v>
      </c>
      <c r="AM3305">
        <v>0</v>
      </c>
      <c r="AN3305">
        <v>0</v>
      </c>
      <c r="AO3305">
        <v>0</v>
      </c>
      <c r="AP3305">
        <v>140</v>
      </c>
      <c r="AT3305" t="str">
        <f t="shared" si="475"/>
        <v>9791137602663</v>
      </c>
      <c r="AV3305" t="str">
        <f t="shared" si="476"/>
        <v>판타지 웹소설 &gt; 퓨전 판타지</v>
      </c>
    </row>
    <row r="3306" spans="1:48" x14ac:dyDescent="0.4">
      <c r="A3306">
        <v>2313012849</v>
      </c>
      <c r="B3306">
        <v>2313013467</v>
      </c>
      <c r="C3306" t="str">
        <f>T("디버프 마스터 619화")</f>
        <v>디버프 마스터 619화</v>
      </c>
      <c r="D3306" t="str">
        <f>T("619")</f>
        <v>619</v>
      </c>
      <c r="E3306" t="str">
        <f t="shared" si="473"/>
        <v>담화공</v>
      </c>
      <c r="H3306" t="str">
        <f t="shared" si="472"/>
        <v>스토리위즈</v>
      </c>
      <c r="I3306" t="str">
        <f t="shared" si="474"/>
        <v>디버프 마스터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T3306" t="str">
        <f t="shared" si="475"/>
        <v>9791137602663</v>
      </c>
      <c r="AV3306" t="str">
        <f t="shared" si="476"/>
        <v>판타지 웹소설 &gt; 퓨전 판타지</v>
      </c>
    </row>
    <row r="3307" spans="1:48" x14ac:dyDescent="0.4">
      <c r="A3307">
        <v>2313012849</v>
      </c>
      <c r="B3307">
        <v>2313013468</v>
      </c>
      <c r="C3307" t="str">
        <f>T("디버프 마스터 620화")</f>
        <v>디버프 마스터 620화</v>
      </c>
      <c r="D3307" t="str">
        <f>T("620")</f>
        <v>620</v>
      </c>
      <c r="E3307" t="str">
        <f t="shared" si="473"/>
        <v>담화공</v>
      </c>
      <c r="H3307" t="str">
        <f t="shared" si="472"/>
        <v>스토리위즈</v>
      </c>
      <c r="I3307" t="str">
        <f t="shared" si="474"/>
        <v>디버프 마스터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T3307" t="str">
        <f t="shared" si="475"/>
        <v>9791137602663</v>
      </c>
      <c r="AV3307" t="str">
        <f t="shared" si="476"/>
        <v>판타지 웹소설 &gt; 퓨전 판타지</v>
      </c>
    </row>
    <row r="3308" spans="1:48" x14ac:dyDescent="0.4">
      <c r="A3308">
        <v>2313012849</v>
      </c>
      <c r="B3308">
        <v>2313013469</v>
      </c>
      <c r="C3308" t="str">
        <f>T("디버프 마스터 621화")</f>
        <v>디버프 마스터 621화</v>
      </c>
      <c r="D3308" t="str">
        <f>T("621")</f>
        <v>621</v>
      </c>
      <c r="E3308" t="str">
        <f t="shared" si="473"/>
        <v>담화공</v>
      </c>
      <c r="H3308" t="str">
        <f t="shared" si="472"/>
        <v>스토리위즈</v>
      </c>
      <c r="I3308" t="str">
        <f t="shared" si="474"/>
        <v>디버프 마스터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T3308" t="str">
        <f t="shared" si="475"/>
        <v>9791137602663</v>
      </c>
      <c r="AV3308" t="str">
        <f t="shared" si="476"/>
        <v>판타지 웹소설 &gt; 퓨전 판타지</v>
      </c>
    </row>
    <row r="3309" spans="1:48" x14ac:dyDescent="0.4">
      <c r="A3309">
        <v>2313012849</v>
      </c>
      <c r="B3309">
        <v>2313013470</v>
      </c>
      <c r="C3309" t="str">
        <f>T("디버프 마스터 622화")</f>
        <v>디버프 마스터 622화</v>
      </c>
      <c r="D3309" t="str">
        <f>T("622")</f>
        <v>622</v>
      </c>
      <c r="E3309" t="str">
        <f t="shared" si="473"/>
        <v>담화공</v>
      </c>
      <c r="H3309" t="str">
        <f t="shared" si="472"/>
        <v>스토리위즈</v>
      </c>
      <c r="I3309" t="str">
        <f t="shared" si="474"/>
        <v>디버프 마스터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T3309" t="str">
        <f t="shared" si="475"/>
        <v>9791137602663</v>
      </c>
      <c r="AV3309" t="str">
        <f t="shared" si="476"/>
        <v>판타지 웹소설 &gt; 퓨전 판타지</v>
      </c>
    </row>
    <row r="3310" spans="1:48" x14ac:dyDescent="0.4">
      <c r="A3310">
        <v>2313012849</v>
      </c>
      <c r="B3310">
        <v>2313013471</v>
      </c>
      <c r="C3310" t="str">
        <f>T("디버프 마스터 623화")</f>
        <v>디버프 마스터 623화</v>
      </c>
      <c r="D3310" t="str">
        <f>T("623")</f>
        <v>623</v>
      </c>
      <c r="E3310" t="str">
        <f t="shared" si="473"/>
        <v>담화공</v>
      </c>
      <c r="H3310" t="str">
        <f t="shared" si="472"/>
        <v>스토리위즈</v>
      </c>
      <c r="I3310" t="str">
        <f t="shared" si="474"/>
        <v>디버프 마스터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T3310" t="str">
        <f t="shared" si="475"/>
        <v>9791137602663</v>
      </c>
      <c r="AV3310" t="str">
        <f t="shared" si="476"/>
        <v>판타지 웹소설 &gt; 퓨전 판타지</v>
      </c>
    </row>
    <row r="3311" spans="1:48" x14ac:dyDescent="0.4">
      <c r="A3311">
        <v>2313012849</v>
      </c>
      <c r="B3311">
        <v>2313013472</v>
      </c>
      <c r="C3311" t="str">
        <f>T("디버프 마스터 624화")</f>
        <v>디버프 마스터 624화</v>
      </c>
      <c r="D3311" t="str">
        <f>T("624")</f>
        <v>624</v>
      </c>
      <c r="E3311" t="str">
        <f t="shared" si="473"/>
        <v>담화공</v>
      </c>
      <c r="H3311" t="str">
        <f t="shared" si="472"/>
        <v>스토리위즈</v>
      </c>
      <c r="I3311" t="str">
        <f t="shared" si="474"/>
        <v>디버프 마스터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T3311" t="str">
        <f t="shared" si="475"/>
        <v>9791137602663</v>
      </c>
      <c r="AV3311" t="str">
        <f t="shared" si="476"/>
        <v>판타지 웹소설 &gt; 퓨전 판타지</v>
      </c>
    </row>
    <row r="3312" spans="1:48" x14ac:dyDescent="0.4">
      <c r="A3312">
        <v>2313012849</v>
      </c>
      <c r="B3312">
        <v>2313013473</v>
      </c>
      <c r="C3312" t="str">
        <f>T("디버프 마스터 625화")</f>
        <v>디버프 마스터 625화</v>
      </c>
      <c r="D3312" t="str">
        <f>T("625")</f>
        <v>625</v>
      </c>
      <c r="E3312" t="str">
        <f t="shared" si="473"/>
        <v>담화공</v>
      </c>
      <c r="H3312" t="str">
        <f t="shared" si="472"/>
        <v>스토리위즈</v>
      </c>
      <c r="I3312" t="str">
        <f t="shared" si="474"/>
        <v>디버프 마스터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T3312" t="str">
        <f t="shared" si="475"/>
        <v>9791137602663</v>
      </c>
      <c r="AV3312" t="str">
        <f t="shared" si="476"/>
        <v>판타지 웹소설 &gt; 퓨전 판타지</v>
      </c>
    </row>
    <row r="3313" spans="1:48" x14ac:dyDescent="0.4">
      <c r="A3313">
        <v>2313012849</v>
      </c>
      <c r="B3313">
        <v>2313013474</v>
      </c>
      <c r="C3313" t="str">
        <f>T("디버프 마스터 626화")</f>
        <v>디버프 마스터 626화</v>
      </c>
      <c r="D3313" t="str">
        <f>T("626")</f>
        <v>626</v>
      </c>
      <c r="E3313" t="str">
        <f t="shared" si="473"/>
        <v>담화공</v>
      </c>
      <c r="H3313" t="str">
        <f t="shared" si="472"/>
        <v>스토리위즈</v>
      </c>
      <c r="I3313" t="str">
        <f t="shared" si="474"/>
        <v>디버프 마스터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T3313" t="str">
        <f t="shared" si="475"/>
        <v>9791137602663</v>
      </c>
      <c r="AV3313" t="str">
        <f t="shared" si="476"/>
        <v>판타지 웹소설 &gt; 퓨전 판타지</v>
      </c>
    </row>
    <row r="3314" spans="1:48" x14ac:dyDescent="0.4">
      <c r="A3314">
        <v>2313012849</v>
      </c>
      <c r="B3314">
        <v>2313013475</v>
      </c>
      <c r="C3314" t="str">
        <f>T("디버프 마스터 627화")</f>
        <v>디버프 마스터 627화</v>
      </c>
      <c r="D3314" t="str">
        <f>T("627")</f>
        <v>627</v>
      </c>
      <c r="E3314" t="str">
        <f t="shared" si="473"/>
        <v>담화공</v>
      </c>
      <c r="H3314" t="str">
        <f t="shared" si="472"/>
        <v>스토리위즈</v>
      </c>
      <c r="I3314" t="str">
        <f t="shared" si="474"/>
        <v>디버프 마스터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T3314" t="str">
        <f t="shared" si="475"/>
        <v>9791137602663</v>
      </c>
      <c r="AV3314" t="str">
        <f t="shared" si="476"/>
        <v>판타지 웹소설 &gt; 퓨전 판타지</v>
      </c>
    </row>
    <row r="3315" spans="1:48" x14ac:dyDescent="0.4">
      <c r="A3315">
        <v>2313012849</v>
      </c>
      <c r="B3315">
        <v>2313013476</v>
      </c>
      <c r="C3315" t="str">
        <f>T("디버프 마스터 628화")</f>
        <v>디버프 마스터 628화</v>
      </c>
      <c r="D3315" t="str">
        <f>T("628")</f>
        <v>628</v>
      </c>
      <c r="E3315" t="str">
        <f t="shared" si="473"/>
        <v>담화공</v>
      </c>
      <c r="H3315" t="str">
        <f t="shared" si="472"/>
        <v>스토리위즈</v>
      </c>
      <c r="I3315" t="str">
        <f t="shared" si="474"/>
        <v>디버프 마스터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T3315" t="str">
        <f t="shared" si="475"/>
        <v>9791137602663</v>
      </c>
      <c r="AV3315" t="str">
        <f t="shared" si="476"/>
        <v>판타지 웹소설 &gt; 퓨전 판타지</v>
      </c>
    </row>
    <row r="3316" spans="1:48" x14ac:dyDescent="0.4">
      <c r="A3316">
        <v>2313012849</v>
      </c>
      <c r="B3316">
        <v>2313013477</v>
      </c>
      <c r="C3316" t="str">
        <f>T("디버프 마스터 629화")</f>
        <v>디버프 마스터 629화</v>
      </c>
      <c r="D3316" t="str">
        <f>T("629")</f>
        <v>629</v>
      </c>
      <c r="E3316" t="str">
        <f t="shared" si="473"/>
        <v>담화공</v>
      </c>
      <c r="H3316" t="str">
        <f t="shared" si="472"/>
        <v>스토리위즈</v>
      </c>
      <c r="I3316" t="str">
        <f t="shared" si="474"/>
        <v>디버프 마스터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T3316" t="str">
        <f t="shared" si="475"/>
        <v>9791137602663</v>
      </c>
      <c r="AV3316" t="str">
        <f t="shared" si="476"/>
        <v>판타지 웹소설 &gt; 퓨전 판타지</v>
      </c>
    </row>
    <row r="3317" spans="1:48" x14ac:dyDescent="0.4">
      <c r="A3317">
        <v>2313012849</v>
      </c>
      <c r="B3317">
        <v>2313013478</v>
      </c>
      <c r="C3317" t="str">
        <f>T("디버프 마스터 630화")</f>
        <v>디버프 마스터 630화</v>
      </c>
      <c r="D3317" t="str">
        <f>T("630")</f>
        <v>630</v>
      </c>
      <c r="E3317" t="str">
        <f t="shared" si="473"/>
        <v>담화공</v>
      </c>
      <c r="H3317" t="str">
        <f t="shared" si="472"/>
        <v>스토리위즈</v>
      </c>
      <c r="I3317" t="str">
        <f t="shared" si="474"/>
        <v>디버프 마스터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T3317" t="str">
        <f t="shared" si="475"/>
        <v>9791137602663</v>
      </c>
      <c r="AV3317" t="str">
        <f t="shared" si="476"/>
        <v>판타지 웹소설 &gt; 퓨전 판타지</v>
      </c>
    </row>
    <row r="3318" spans="1:48" x14ac:dyDescent="0.4">
      <c r="A3318">
        <v>2313012849</v>
      </c>
      <c r="B3318">
        <v>2313013479</v>
      </c>
      <c r="C3318" t="str">
        <f>T("디버프 마스터 631화")</f>
        <v>디버프 마스터 631화</v>
      </c>
      <c r="D3318" t="str">
        <f>T("631")</f>
        <v>631</v>
      </c>
      <c r="E3318" t="str">
        <f t="shared" si="473"/>
        <v>담화공</v>
      </c>
      <c r="H3318" t="str">
        <f t="shared" si="472"/>
        <v>스토리위즈</v>
      </c>
      <c r="I3318" t="str">
        <f t="shared" si="474"/>
        <v>디버프 마스터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T3318" t="str">
        <f t="shared" si="475"/>
        <v>9791137602663</v>
      </c>
      <c r="AV3318" t="str">
        <f t="shared" si="476"/>
        <v>판타지 웹소설 &gt; 퓨전 판타지</v>
      </c>
    </row>
    <row r="3319" spans="1:48" x14ac:dyDescent="0.4">
      <c r="A3319">
        <v>2313012849</v>
      </c>
      <c r="B3319">
        <v>2313013480</v>
      </c>
      <c r="C3319" t="str">
        <f>T("디버프 마스터 632화")</f>
        <v>디버프 마스터 632화</v>
      </c>
      <c r="D3319" t="str">
        <f>T("632")</f>
        <v>632</v>
      </c>
      <c r="E3319" t="str">
        <f t="shared" si="473"/>
        <v>담화공</v>
      </c>
      <c r="H3319" t="str">
        <f t="shared" si="472"/>
        <v>스토리위즈</v>
      </c>
      <c r="I3319" t="str">
        <f t="shared" si="474"/>
        <v>디버프 마스터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T3319" t="str">
        <f t="shared" si="475"/>
        <v>9791137602663</v>
      </c>
      <c r="AV3319" t="str">
        <f t="shared" si="476"/>
        <v>판타지 웹소설 &gt; 퓨전 판타지</v>
      </c>
    </row>
    <row r="3320" spans="1:48" x14ac:dyDescent="0.4">
      <c r="A3320">
        <v>2313012849</v>
      </c>
      <c r="B3320">
        <v>2313013481</v>
      </c>
      <c r="C3320" t="str">
        <f>T("디버프 마스터 633화")</f>
        <v>디버프 마스터 633화</v>
      </c>
      <c r="D3320" t="str">
        <f>T("633")</f>
        <v>633</v>
      </c>
      <c r="E3320" t="str">
        <f t="shared" si="473"/>
        <v>담화공</v>
      </c>
      <c r="H3320" t="str">
        <f t="shared" si="472"/>
        <v>스토리위즈</v>
      </c>
      <c r="I3320" t="str">
        <f t="shared" si="474"/>
        <v>디버프 마스터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T3320" t="str">
        <f t="shared" si="475"/>
        <v>9791137602663</v>
      </c>
      <c r="AV3320" t="str">
        <f t="shared" si="476"/>
        <v>판타지 웹소설 &gt; 퓨전 판타지</v>
      </c>
    </row>
    <row r="3321" spans="1:48" x14ac:dyDescent="0.4">
      <c r="A3321">
        <v>2313012849</v>
      </c>
      <c r="B3321">
        <v>2313013482</v>
      </c>
      <c r="C3321" t="str">
        <f>T("디버프 마스터 634화")</f>
        <v>디버프 마스터 634화</v>
      </c>
      <c r="D3321" t="str">
        <f>T("634")</f>
        <v>634</v>
      </c>
      <c r="E3321" t="str">
        <f t="shared" si="473"/>
        <v>담화공</v>
      </c>
      <c r="H3321" t="str">
        <f t="shared" ref="H3321:H3384" si="477">T("스토리위즈")</f>
        <v>스토리위즈</v>
      </c>
      <c r="I3321" t="str">
        <f t="shared" si="474"/>
        <v>디버프 마스터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T3321" t="str">
        <f t="shared" si="475"/>
        <v>9791137602663</v>
      </c>
      <c r="AV3321" t="str">
        <f t="shared" si="476"/>
        <v>판타지 웹소설 &gt; 퓨전 판타지</v>
      </c>
    </row>
    <row r="3322" spans="1:48" x14ac:dyDescent="0.4">
      <c r="A3322">
        <v>2313012849</v>
      </c>
      <c r="B3322">
        <v>2313013483</v>
      </c>
      <c r="C3322" t="str">
        <f>T("디버프 마스터 635화")</f>
        <v>디버프 마스터 635화</v>
      </c>
      <c r="D3322" t="str">
        <f>T("635")</f>
        <v>635</v>
      </c>
      <c r="E3322" t="str">
        <f t="shared" si="473"/>
        <v>담화공</v>
      </c>
      <c r="H3322" t="str">
        <f t="shared" si="477"/>
        <v>스토리위즈</v>
      </c>
      <c r="I3322" t="str">
        <f t="shared" si="474"/>
        <v>디버프 마스터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T3322" t="str">
        <f t="shared" si="475"/>
        <v>9791137602663</v>
      </c>
      <c r="AV3322" t="str">
        <f t="shared" si="476"/>
        <v>판타지 웹소설 &gt; 퓨전 판타지</v>
      </c>
    </row>
    <row r="3323" spans="1:48" x14ac:dyDescent="0.4">
      <c r="A3323">
        <v>2313012849</v>
      </c>
      <c r="B3323">
        <v>2313013484</v>
      </c>
      <c r="C3323" t="str">
        <f>T("디버프 마스터 636화")</f>
        <v>디버프 마스터 636화</v>
      </c>
      <c r="D3323" t="str">
        <f>T("636")</f>
        <v>636</v>
      </c>
      <c r="E3323" t="str">
        <f t="shared" si="473"/>
        <v>담화공</v>
      </c>
      <c r="H3323" t="str">
        <f t="shared" si="477"/>
        <v>스토리위즈</v>
      </c>
      <c r="I3323" t="str">
        <f t="shared" si="474"/>
        <v>디버프 마스터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70</v>
      </c>
      <c r="AT3323" t="str">
        <f t="shared" si="475"/>
        <v>9791137602663</v>
      </c>
      <c r="AV3323" t="str">
        <f t="shared" si="476"/>
        <v>판타지 웹소설 &gt; 퓨전 판타지</v>
      </c>
    </row>
    <row r="3324" spans="1:48" x14ac:dyDescent="0.4">
      <c r="A3324">
        <v>2313012849</v>
      </c>
      <c r="B3324">
        <v>2313013485</v>
      </c>
      <c r="C3324" t="str">
        <f>T("디버프 마스터 637화")</f>
        <v>디버프 마스터 637화</v>
      </c>
      <c r="D3324" t="str">
        <f>T("637")</f>
        <v>637</v>
      </c>
      <c r="E3324" t="str">
        <f t="shared" si="473"/>
        <v>담화공</v>
      </c>
      <c r="H3324" t="str">
        <f t="shared" si="477"/>
        <v>스토리위즈</v>
      </c>
      <c r="I3324" t="str">
        <f t="shared" si="474"/>
        <v>디버프 마스터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70</v>
      </c>
      <c r="AT3324" t="str">
        <f t="shared" si="475"/>
        <v>9791137602663</v>
      </c>
      <c r="AV3324" t="str">
        <f t="shared" si="476"/>
        <v>판타지 웹소설 &gt; 퓨전 판타지</v>
      </c>
    </row>
    <row r="3325" spans="1:48" x14ac:dyDescent="0.4">
      <c r="A3325">
        <v>2313012849</v>
      </c>
      <c r="B3325">
        <v>2313013486</v>
      </c>
      <c r="C3325" t="str">
        <f>T("디버프 마스터 638화")</f>
        <v>디버프 마스터 638화</v>
      </c>
      <c r="D3325" t="str">
        <f>T("638")</f>
        <v>638</v>
      </c>
      <c r="E3325" t="str">
        <f t="shared" si="473"/>
        <v>담화공</v>
      </c>
      <c r="H3325" t="str">
        <f t="shared" si="477"/>
        <v>스토리위즈</v>
      </c>
      <c r="I3325" t="str">
        <f t="shared" si="474"/>
        <v>디버프 마스터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70</v>
      </c>
      <c r="AT3325" t="str">
        <f t="shared" si="475"/>
        <v>9791137602663</v>
      </c>
      <c r="AV3325" t="str">
        <f t="shared" si="476"/>
        <v>판타지 웹소설 &gt; 퓨전 판타지</v>
      </c>
    </row>
    <row r="3326" spans="1:48" x14ac:dyDescent="0.4">
      <c r="A3326">
        <v>2313012849</v>
      </c>
      <c r="B3326">
        <v>2313013487</v>
      </c>
      <c r="C3326" t="str">
        <f>T("디버프 마스터 639화")</f>
        <v>디버프 마스터 639화</v>
      </c>
      <c r="D3326" t="str">
        <f>T("639")</f>
        <v>639</v>
      </c>
      <c r="E3326" t="str">
        <f t="shared" si="473"/>
        <v>담화공</v>
      </c>
      <c r="H3326" t="str">
        <f t="shared" si="477"/>
        <v>스토리위즈</v>
      </c>
      <c r="I3326" t="str">
        <f t="shared" si="474"/>
        <v>디버프 마스터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70</v>
      </c>
      <c r="AT3326" t="str">
        <f t="shared" si="475"/>
        <v>9791137602663</v>
      </c>
      <c r="AV3326" t="str">
        <f t="shared" si="476"/>
        <v>판타지 웹소설 &gt; 퓨전 판타지</v>
      </c>
    </row>
    <row r="3327" spans="1:48" x14ac:dyDescent="0.4">
      <c r="A3327">
        <v>2313012849</v>
      </c>
      <c r="B3327">
        <v>2313013488</v>
      </c>
      <c r="C3327" t="str">
        <f>T("디버프 마스터 640화")</f>
        <v>디버프 마스터 640화</v>
      </c>
      <c r="D3327" t="str">
        <f>T("640")</f>
        <v>640</v>
      </c>
      <c r="E3327" t="str">
        <f t="shared" si="473"/>
        <v>담화공</v>
      </c>
      <c r="H3327" t="str">
        <f t="shared" si="477"/>
        <v>스토리위즈</v>
      </c>
      <c r="I3327" t="str">
        <f t="shared" si="474"/>
        <v>디버프 마스터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70</v>
      </c>
      <c r="AT3327" t="str">
        <f t="shared" si="475"/>
        <v>9791137602663</v>
      </c>
      <c r="AV3327" t="str">
        <f t="shared" si="476"/>
        <v>판타지 웹소설 &gt; 퓨전 판타지</v>
      </c>
    </row>
    <row r="3328" spans="1:48" x14ac:dyDescent="0.4">
      <c r="A3328">
        <v>2313012849</v>
      </c>
      <c r="B3328">
        <v>2313013489</v>
      </c>
      <c r="C3328" t="str">
        <f>T("디버프 마스터 641화")</f>
        <v>디버프 마스터 641화</v>
      </c>
      <c r="D3328" t="str">
        <f>T("641")</f>
        <v>641</v>
      </c>
      <c r="E3328" t="str">
        <f t="shared" si="473"/>
        <v>담화공</v>
      </c>
      <c r="H3328" t="str">
        <f t="shared" si="477"/>
        <v>스토리위즈</v>
      </c>
      <c r="I3328" t="str">
        <f t="shared" si="474"/>
        <v>디버프 마스터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70</v>
      </c>
      <c r="AT3328" t="str">
        <f t="shared" si="475"/>
        <v>9791137602663</v>
      </c>
      <c r="AV3328" t="str">
        <f t="shared" si="476"/>
        <v>판타지 웹소설 &gt; 퓨전 판타지</v>
      </c>
    </row>
    <row r="3329" spans="1:48" x14ac:dyDescent="0.4">
      <c r="A3329">
        <v>2313012849</v>
      </c>
      <c r="B3329">
        <v>2313013490</v>
      </c>
      <c r="C3329" t="str">
        <f>T("디버프 마스터 642화")</f>
        <v>디버프 마스터 642화</v>
      </c>
      <c r="D3329" t="str">
        <f>T("642")</f>
        <v>642</v>
      </c>
      <c r="E3329" t="str">
        <f t="shared" si="473"/>
        <v>담화공</v>
      </c>
      <c r="H3329" t="str">
        <f t="shared" si="477"/>
        <v>스토리위즈</v>
      </c>
      <c r="I3329" t="str">
        <f t="shared" si="474"/>
        <v>디버프 마스터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T3329" t="str">
        <f t="shared" si="475"/>
        <v>9791137602663</v>
      </c>
      <c r="AV3329" t="str">
        <f t="shared" si="476"/>
        <v>판타지 웹소설 &gt; 퓨전 판타지</v>
      </c>
    </row>
    <row r="3330" spans="1:48" x14ac:dyDescent="0.4">
      <c r="A3330">
        <v>2313012849</v>
      </c>
      <c r="B3330">
        <v>2313013491</v>
      </c>
      <c r="C3330" t="str">
        <f>T("디버프 마스터 643화")</f>
        <v>디버프 마스터 643화</v>
      </c>
      <c r="D3330" t="str">
        <f>T("643")</f>
        <v>643</v>
      </c>
      <c r="E3330" t="str">
        <f t="shared" si="473"/>
        <v>담화공</v>
      </c>
      <c r="H3330" t="str">
        <f t="shared" si="477"/>
        <v>스토리위즈</v>
      </c>
      <c r="I3330" t="str">
        <f t="shared" si="474"/>
        <v>디버프 마스터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T3330" t="str">
        <f t="shared" si="475"/>
        <v>9791137602663</v>
      </c>
      <c r="AV3330" t="str">
        <f t="shared" si="476"/>
        <v>판타지 웹소설 &gt; 퓨전 판타지</v>
      </c>
    </row>
    <row r="3331" spans="1:48" x14ac:dyDescent="0.4">
      <c r="A3331">
        <v>2313012849</v>
      </c>
      <c r="B3331">
        <v>2313013492</v>
      </c>
      <c r="C3331" t="str">
        <f>T("디버프 마스터 644화")</f>
        <v>디버프 마스터 644화</v>
      </c>
      <c r="D3331" t="str">
        <f>T("644")</f>
        <v>644</v>
      </c>
      <c r="E3331" t="str">
        <f t="shared" si="473"/>
        <v>담화공</v>
      </c>
      <c r="H3331" t="str">
        <f t="shared" si="477"/>
        <v>스토리위즈</v>
      </c>
      <c r="I3331" t="str">
        <f t="shared" si="474"/>
        <v>디버프 마스터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T3331" t="str">
        <f t="shared" si="475"/>
        <v>9791137602663</v>
      </c>
      <c r="AV3331" t="str">
        <f t="shared" si="476"/>
        <v>판타지 웹소설 &gt; 퓨전 판타지</v>
      </c>
    </row>
    <row r="3332" spans="1:48" x14ac:dyDescent="0.4">
      <c r="A3332">
        <v>2313012849</v>
      </c>
      <c r="B3332">
        <v>2313013493</v>
      </c>
      <c r="C3332" t="str">
        <f>T("디버프 마스터 645화")</f>
        <v>디버프 마스터 645화</v>
      </c>
      <c r="D3332" t="str">
        <f>T("645")</f>
        <v>645</v>
      </c>
      <c r="E3332" t="str">
        <f t="shared" si="473"/>
        <v>담화공</v>
      </c>
      <c r="H3332" t="str">
        <f t="shared" si="477"/>
        <v>스토리위즈</v>
      </c>
      <c r="I3332" t="str">
        <f t="shared" si="474"/>
        <v>디버프 마스터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T3332" t="str">
        <f t="shared" si="475"/>
        <v>9791137602663</v>
      </c>
      <c r="AV3332" t="str">
        <f t="shared" si="476"/>
        <v>판타지 웹소설 &gt; 퓨전 판타지</v>
      </c>
    </row>
    <row r="3333" spans="1:48" x14ac:dyDescent="0.4">
      <c r="A3333">
        <v>2313012849</v>
      </c>
      <c r="B3333">
        <v>2313013494</v>
      </c>
      <c r="C3333" t="str">
        <f>T("디버프 마스터 646화")</f>
        <v>디버프 마스터 646화</v>
      </c>
      <c r="D3333" t="str">
        <f>T("646")</f>
        <v>646</v>
      </c>
      <c r="E3333" t="str">
        <f t="shared" si="473"/>
        <v>담화공</v>
      </c>
      <c r="H3333" t="str">
        <f t="shared" si="477"/>
        <v>스토리위즈</v>
      </c>
      <c r="I3333" t="str">
        <f t="shared" si="474"/>
        <v>디버프 마스터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T3333" t="str">
        <f t="shared" si="475"/>
        <v>9791137602663</v>
      </c>
      <c r="AV3333" t="str">
        <f t="shared" si="476"/>
        <v>판타지 웹소설 &gt; 퓨전 판타지</v>
      </c>
    </row>
    <row r="3334" spans="1:48" x14ac:dyDescent="0.4">
      <c r="A3334">
        <v>2313012849</v>
      </c>
      <c r="B3334">
        <v>2313013495</v>
      </c>
      <c r="C3334" t="str">
        <f>T("디버프 마스터 647화")</f>
        <v>디버프 마스터 647화</v>
      </c>
      <c r="D3334" t="str">
        <f>T("647")</f>
        <v>647</v>
      </c>
      <c r="E3334" t="str">
        <f t="shared" si="473"/>
        <v>담화공</v>
      </c>
      <c r="H3334" t="str">
        <f t="shared" si="477"/>
        <v>스토리위즈</v>
      </c>
      <c r="I3334" t="str">
        <f t="shared" si="474"/>
        <v>디버프 마스터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T3334" t="str">
        <f t="shared" si="475"/>
        <v>9791137602663</v>
      </c>
      <c r="AV3334" t="str">
        <f t="shared" si="476"/>
        <v>판타지 웹소설 &gt; 퓨전 판타지</v>
      </c>
    </row>
    <row r="3335" spans="1:48" x14ac:dyDescent="0.4">
      <c r="A3335">
        <v>2313012849</v>
      </c>
      <c r="B3335">
        <v>2313013496</v>
      </c>
      <c r="C3335" t="str">
        <f>T("디버프 마스터 648화")</f>
        <v>디버프 마스터 648화</v>
      </c>
      <c r="D3335" t="str">
        <f>T("648")</f>
        <v>648</v>
      </c>
      <c r="E3335" t="str">
        <f t="shared" si="473"/>
        <v>담화공</v>
      </c>
      <c r="H3335" t="str">
        <f t="shared" si="477"/>
        <v>스토리위즈</v>
      </c>
      <c r="I3335" t="str">
        <f t="shared" si="474"/>
        <v>디버프 마스터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T3335" t="str">
        <f t="shared" si="475"/>
        <v>9791137602663</v>
      </c>
      <c r="AV3335" t="str">
        <f t="shared" si="476"/>
        <v>판타지 웹소설 &gt; 퓨전 판타지</v>
      </c>
    </row>
    <row r="3336" spans="1:48" x14ac:dyDescent="0.4">
      <c r="A3336">
        <v>2313012849</v>
      </c>
      <c r="B3336">
        <v>2313013497</v>
      </c>
      <c r="C3336" t="str">
        <f>T("디버프 마스터 649화")</f>
        <v>디버프 마스터 649화</v>
      </c>
      <c r="D3336" t="str">
        <f>T("649")</f>
        <v>649</v>
      </c>
      <c r="E3336" t="str">
        <f t="shared" ref="E3336:E3399" si="478">T("담화공")</f>
        <v>담화공</v>
      </c>
      <c r="H3336" t="str">
        <f t="shared" si="477"/>
        <v>스토리위즈</v>
      </c>
      <c r="I3336" t="str">
        <f t="shared" ref="I3336:I3399" si="479">T("디버프 마스터")</f>
        <v>디버프 마스터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T3336" t="str">
        <f t="shared" ref="AT3336:AT3399" si="480">T("9791137602663")</f>
        <v>9791137602663</v>
      </c>
      <c r="AV3336" t="str">
        <f t="shared" ref="AV3336:AV3399" si="481">T("판타지 웹소설 &gt; 퓨전 판타지")</f>
        <v>판타지 웹소설 &gt; 퓨전 판타지</v>
      </c>
    </row>
    <row r="3337" spans="1:48" x14ac:dyDescent="0.4">
      <c r="A3337">
        <v>2313012849</v>
      </c>
      <c r="B3337">
        <v>2313013498</v>
      </c>
      <c r="C3337" t="str">
        <f>T("디버프 마스터 650화")</f>
        <v>디버프 마스터 650화</v>
      </c>
      <c r="D3337" t="str">
        <f>T("650")</f>
        <v>650</v>
      </c>
      <c r="E3337" t="str">
        <f t="shared" si="478"/>
        <v>담화공</v>
      </c>
      <c r="H3337" t="str">
        <f t="shared" si="477"/>
        <v>스토리위즈</v>
      </c>
      <c r="I3337" t="str">
        <f t="shared" si="479"/>
        <v>디버프 마스터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T3337" t="str">
        <f t="shared" si="480"/>
        <v>9791137602663</v>
      </c>
      <c r="AV3337" t="str">
        <f t="shared" si="481"/>
        <v>판타지 웹소설 &gt; 퓨전 판타지</v>
      </c>
    </row>
    <row r="3338" spans="1:48" x14ac:dyDescent="0.4">
      <c r="A3338">
        <v>2313012849</v>
      </c>
      <c r="B3338">
        <v>2313013499</v>
      </c>
      <c r="C3338" t="str">
        <f>T("디버프 마스터 651화")</f>
        <v>디버프 마스터 651화</v>
      </c>
      <c r="D3338" t="str">
        <f>T("651")</f>
        <v>651</v>
      </c>
      <c r="E3338" t="str">
        <f t="shared" si="478"/>
        <v>담화공</v>
      </c>
      <c r="H3338" t="str">
        <f t="shared" si="477"/>
        <v>스토리위즈</v>
      </c>
      <c r="I3338" t="str">
        <f t="shared" si="479"/>
        <v>디버프 마스터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T3338" t="str">
        <f t="shared" si="480"/>
        <v>9791137602663</v>
      </c>
      <c r="AV3338" t="str">
        <f t="shared" si="481"/>
        <v>판타지 웹소설 &gt; 퓨전 판타지</v>
      </c>
    </row>
    <row r="3339" spans="1:48" x14ac:dyDescent="0.4">
      <c r="A3339">
        <v>2313012849</v>
      </c>
      <c r="B3339">
        <v>2313013500</v>
      </c>
      <c r="C3339" t="str">
        <f>T("디버프 마스터 652화")</f>
        <v>디버프 마스터 652화</v>
      </c>
      <c r="D3339" t="str">
        <f>T("652")</f>
        <v>652</v>
      </c>
      <c r="E3339" t="str">
        <f t="shared" si="478"/>
        <v>담화공</v>
      </c>
      <c r="H3339" t="str">
        <f t="shared" si="477"/>
        <v>스토리위즈</v>
      </c>
      <c r="I3339" t="str">
        <f t="shared" si="479"/>
        <v>디버프 마스터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T3339" t="str">
        <f t="shared" si="480"/>
        <v>9791137602663</v>
      </c>
      <c r="AV3339" t="str">
        <f t="shared" si="481"/>
        <v>판타지 웹소설 &gt; 퓨전 판타지</v>
      </c>
    </row>
    <row r="3340" spans="1:48" x14ac:dyDescent="0.4">
      <c r="A3340">
        <v>2313012849</v>
      </c>
      <c r="B3340">
        <v>2313013501</v>
      </c>
      <c r="C3340" t="str">
        <f>T("디버프 마스터 653화")</f>
        <v>디버프 마스터 653화</v>
      </c>
      <c r="D3340" t="str">
        <f>T("653")</f>
        <v>653</v>
      </c>
      <c r="E3340" t="str">
        <f t="shared" si="478"/>
        <v>담화공</v>
      </c>
      <c r="H3340" t="str">
        <f t="shared" si="477"/>
        <v>스토리위즈</v>
      </c>
      <c r="I3340" t="str">
        <f t="shared" si="479"/>
        <v>디버프 마스터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T3340" t="str">
        <f t="shared" si="480"/>
        <v>9791137602663</v>
      </c>
      <c r="AV3340" t="str">
        <f t="shared" si="481"/>
        <v>판타지 웹소설 &gt; 퓨전 판타지</v>
      </c>
    </row>
    <row r="3341" spans="1:48" x14ac:dyDescent="0.4">
      <c r="A3341">
        <v>2313012849</v>
      </c>
      <c r="B3341">
        <v>2313013502</v>
      </c>
      <c r="C3341" t="str">
        <f>T("디버프 마스터 654화")</f>
        <v>디버프 마스터 654화</v>
      </c>
      <c r="D3341" t="str">
        <f>T("654")</f>
        <v>654</v>
      </c>
      <c r="E3341" t="str">
        <f t="shared" si="478"/>
        <v>담화공</v>
      </c>
      <c r="H3341" t="str">
        <f t="shared" si="477"/>
        <v>스토리위즈</v>
      </c>
      <c r="I3341" t="str">
        <f t="shared" si="479"/>
        <v>디버프 마스터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T3341" t="str">
        <f t="shared" si="480"/>
        <v>9791137602663</v>
      </c>
      <c r="AV3341" t="str">
        <f t="shared" si="481"/>
        <v>판타지 웹소설 &gt; 퓨전 판타지</v>
      </c>
    </row>
    <row r="3342" spans="1:48" x14ac:dyDescent="0.4">
      <c r="A3342">
        <v>2313012849</v>
      </c>
      <c r="B3342">
        <v>2313013503</v>
      </c>
      <c r="C3342" t="str">
        <f>T("디버프 마스터 655화")</f>
        <v>디버프 마스터 655화</v>
      </c>
      <c r="D3342" t="str">
        <f>T("655")</f>
        <v>655</v>
      </c>
      <c r="E3342" t="str">
        <f t="shared" si="478"/>
        <v>담화공</v>
      </c>
      <c r="H3342" t="str">
        <f t="shared" si="477"/>
        <v>스토리위즈</v>
      </c>
      <c r="I3342" t="str">
        <f t="shared" si="479"/>
        <v>디버프 마스터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T3342" t="str">
        <f t="shared" si="480"/>
        <v>9791137602663</v>
      </c>
      <c r="AV3342" t="str">
        <f t="shared" si="481"/>
        <v>판타지 웹소설 &gt; 퓨전 판타지</v>
      </c>
    </row>
    <row r="3343" spans="1:48" x14ac:dyDescent="0.4">
      <c r="A3343">
        <v>2313012849</v>
      </c>
      <c r="B3343">
        <v>2313013504</v>
      </c>
      <c r="C3343" t="str">
        <f>T("디버프 마스터 656화")</f>
        <v>디버프 마스터 656화</v>
      </c>
      <c r="D3343" t="str">
        <f>T("656")</f>
        <v>656</v>
      </c>
      <c r="E3343" t="str">
        <f t="shared" si="478"/>
        <v>담화공</v>
      </c>
      <c r="H3343" t="str">
        <f t="shared" si="477"/>
        <v>스토리위즈</v>
      </c>
      <c r="I3343" t="str">
        <f t="shared" si="479"/>
        <v>디버프 마스터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T3343" t="str">
        <f t="shared" si="480"/>
        <v>9791137602663</v>
      </c>
      <c r="AV3343" t="str">
        <f t="shared" si="481"/>
        <v>판타지 웹소설 &gt; 퓨전 판타지</v>
      </c>
    </row>
    <row r="3344" spans="1:48" x14ac:dyDescent="0.4">
      <c r="A3344">
        <v>2313012849</v>
      </c>
      <c r="B3344">
        <v>2313013505</v>
      </c>
      <c r="C3344" t="str">
        <f>T("디버프 마스터 657화")</f>
        <v>디버프 마스터 657화</v>
      </c>
      <c r="D3344" t="str">
        <f>T("657")</f>
        <v>657</v>
      </c>
      <c r="E3344" t="str">
        <f t="shared" si="478"/>
        <v>담화공</v>
      </c>
      <c r="H3344" t="str">
        <f t="shared" si="477"/>
        <v>스토리위즈</v>
      </c>
      <c r="I3344" t="str">
        <f t="shared" si="479"/>
        <v>디버프 마스터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T3344" t="str">
        <f t="shared" si="480"/>
        <v>9791137602663</v>
      </c>
      <c r="AV3344" t="str">
        <f t="shared" si="481"/>
        <v>판타지 웹소설 &gt; 퓨전 판타지</v>
      </c>
    </row>
    <row r="3345" spans="1:48" x14ac:dyDescent="0.4">
      <c r="A3345">
        <v>2313012849</v>
      </c>
      <c r="B3345">
        <v>2313013506</v>
      </c>
      <c r="C3345" t="str">
        <f>T("디버프 마스터 658화")</f>
        <v>디버프 마스터 658화</v>
      </c>
      <c r="D3345" t="str">
        <f>T("658")</f>
        <v>658</v>
      </c>
      <c r="E3345" t="str">
        <f t="shared" si="478"/>
        <v>담화공</v>
      </c>
      <c r="H3345" t="str">
        <f t="shared" si="477"/>
        <v>스토리위즈</v>
      </c>
      <c r="I3345" t="str">
        <f t="shared" si="479"/>
        <v>디버프 마스터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T3345" t="str">
        <f t="shared" si="480"/>
        <v>9791137602663</v>
      </c>
      <c r="AV3345" t="str">
        <f t="shared" si="481"/>
        <v>판타지 웹소설 &gt; 퓨전 판타지</v>
      </c>
    </row>
    <row r="3346" spans="1:48" x14ac:dyDescent="0.4">
      <c r="A3346">
        <v>2313012849</v>
      </c>
      <c r="B3346">
        <v>2313013507</v>
      </c>
      <c r="C3346" t="str">
        <f>T("디버프 마스터 659화")</f>
        <v>디버프 마스터 659화</v>
      </c>
      <c r="D3346" t="str">
        <f>T("659")</f>
        <v>659</v>
      </c>
      <c r="E3346" t="str">
        <f t="shared" si="478"/>
        <v>담화공</v>
      </c>
      <c r="H3346" t="str">
        <f t="shared" si="477"/>
        <v>스토리위즈</v>
      </c>
      <c r="I3346" t="str">
        <f t="shared" si="479"/>
        <v>디버프 마스터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T3346" t="str">
        <f t="shared" si="480"/>
        <v>9791137602663</v>
      </c>
      <c r="AV3346" t="str">
        <f t="shared" si="481"/>
        <v>판타지 웹소설 &gt; 퓨전 판타지</v>
      </c>
    </row>
    <row r="3347" spans="1:48" x14ac:dyDescent="0.4">
      <c r="A3347">
        <v>2313012849</v>
      </c>
      <c r="B3347">
        <v>2313013508</v>
      </c>
      <c r="C3347" t="str">
        <f>T("디버프 마스터 660화")</f>
        <v>디버프 마스터 660화</v>
      </c>
      <c r="D3347" t="str">
        <f>T("660")</f>
        <v>660</v>
      </c>
      <c r="E3347" t="str">
        <f t="shared" si="478"/>
        <v>담화공</v>
      </c>
      <c r="H3347" t="str">
        <f t="shared" si="477"/>
        <v>스토리위즈</v>
      </c>
      <c r="I3347" t="str">
        <f t="shared" si="479"/>
        <v>디버프 마스터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T3347" t="str">
        <f t="shared" si="480"/>
        <v>9791137602663</v>
      </c>
      <c r="AV3347" t="str">
        <f t="shared" si="481"/>
        <v>판타지 웹소설 &gt; 퓨전 판타지</v>
      </c>
    </row>
    <row r="3348" spans="1:48" x14ac:dyDescent="0.4">
      <c r="A3348">
        <v>2313012849</v>
      </c>
      <c r="B3348">
        <v>2313013509</v>
      </c>
      <c r="C3348" t="str">
        <f>T("디버프 마스터 661화")</f>
        <v>디버프 마스터 661화</v>
      </c>
      <c r="D3348" t="str">
        <f>T("661")</f>
        <v>661</v>
      </c>
      <c r="E3348" t="str">
        <f t="shared" si="478"/>
        <v>담화공</v>
      </c>
      <c r="H3348" t="str">
        <f t="shared" si="477"/>
        <v>스토리위즈</v>
      </c>
      <c r="I3348" t="str">
        <f t="shared" si="479"/>
        <v>디버프 마스터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T3348" t="str">
        <f t="shared" si="480"/>
        <v>9791137602663</v>
      </c>
      <c r="AV3348" t="str">
        <f t="shared" si="481"/>
        <v>판타지 웹소설 &gt; 퓨전 판타지</v>
      </c>
    </row>
    <row r="3349" spans="1:48" x14ac:dyDescent="0.4">
      <c r="A3349">
        <v>2313012849</v>
      </c>
      <c r="B3349">
        <v>2313013510</v>
      </c>
      <c r="C3349" t="str">
        <f>T("디버프 마스터 662화")</f>
        <v>디버프 마스터 662화</v>
      </c>
      <c r="D3349" t="str">
        <f>T("662")</f>
        <v>662</v>
      </c>
      <c r="E3349" t="str">
        <f t="shared" si="478"/>
        <v>담화공</v>
      </c>
      <c r="H3349" t="str">
        <f t="shared" si="477"/>
        <v>스토리위즈</v>
      </c>
      <c r="I3349" t="str">
        <f t="shared" si="479"/>
        <v>디버프 마스터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T3349" t="str">
        <f t="shared" si="480"/>
        <v>9791137602663</v>
      </c>
      <c r="AV3349" t="str">
        <f t="shared" si="481"/>
        <v>판타지 웹소설 &gt; 퓨전 판타지</v>
      </c>
    </row>
    <row r="3350" spans="1:48" x14ac:dyDescent="0.4">
      <c r="A3350">
        <v>2313012849</v>
      </c>
      <c r="B3350">
        <v>2313013511</v>
      </c>
      <c r="C3350" t="str">
        <f>T("디버프 마스터 663화")</f>
        <v>디버프 마스터 663화</v>
      </c>
      <c r="D3350" t="str">
        <f>T("663")</f>
        <v>663</v>
      </c>
      <c r="E3350" t="str">
        <f t="shared" si="478"/>
        <v>담화공</v>
      </c>
      <c r="H3350" t="str">
        <f t="shared" si="477"/>
        <v>스토리위즈</v>
      </c>
      <c r="I3350" t="str">
        <f t="shared" si="479"/>
        <v>디버프 마스터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T3350" t="str">
        <f t="shared" si="480"/>
        <v>9791137602663</v>
      </c>
      <c r="AV3350" t="str">
        <f t="shared" si="481"/>
        <v>판타지 웹소설 &gt; 퓨전 판타지</v>
      </c>
    </row>
    <row r="3351" spans="1:48" x14ac:dyDescent="0.4">
      <c r="A3351">
        <v>2313012849</v>
      </c>
      <c r="B3351">
        <v>2313013512</v>
      </c>
      <c r="C3351" t="str">
        <f>T("디버프 마스터 664화")</f>
        <v>디버프 마스터 664화</v>
      </c>
      <c r="D3351" t="str">
        <f>T("664")</f>
        <v>664</v>
      </c>
      <c r="E3351" t="str">
        <f t="shared" si="478"/>
        <v>담화공</v>
      </c>
      <c r="H3351" t="str">
        <f t="shared" si="477"/>
        <v>스토리위즈</v>
      </c>
      <c r="I3351" t="str">
        <f t="shared" si="479"/>
        <v>디버프 마스터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T3351" t="str">
        <f t="shared" si="480"/>
        <v>9791137602663</v>
      </c>
      <c r="AV3351" t="str">
        <f t="shared" si="481"/>
        <v>판타지 웹소설 &gt; 퓨전 판타지</v>
      </c>
    </row>
    <row r="3352" spans="1:48" x14ac:dyDescent="0.4">
      <c r="A3352">
        <v>2313012849</v>
      </c>
      <c r="B3352">
        <v>2313013513</v>
      </c>
      <c r="C3352" t="str">
        <f>T("디버프 마스터 665화")</f>
        <v>디버프 마스터 665화</v>
      </c>
      <c r="D3352" t="str">
        <f>T("665")</f>
        <v>665</v>
      </c>
      <c r="E3352" t="str">
        <f t="shared" si="478"/>
        <v>담화공</v>
      </c>
      <c r="H3352" t="str">
        <f t="shared" si="477"/>
        <v>스토리위즈</v>
      </c>
      <c r="I3352" t="str">
        <f t="shared" si="479"/>
        <v>디버프 마스터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T3352" t="str">
        <f t="shared" si="480"/>
        <v>9791137602663</v>
      </c>
      <c r="AV3352" t="str">
        <f t="shared" si="481"/>
        <v>판타지 웹소설 &gt; 퓨전 판타지</v>
      </c>
    </row>
    <row r="3353" spans="1:48" x14ac:dyDescent="0.4">
      <c r="A3353">
        <v>2313012849</v>
      </c>
      <c r="B3353">
        <v>2313013514</v>
      </c>
      <c r="C3353" t="str">
        <f>T("디버프 마스터 666화")</f>
        <v>디버프 마스터 666화</v>
      </c>
      <c r="D3353" t="str">
        <f>T("666")</f>
        <v>666</v>
      </c>
      <c r="E3353" t="str">
        <f t="shared" si="478"/>
        <v>담화공</v>
      </c>
      <c r="H3353" t="str">
        <f t="shared" si="477"/>
        <v>스토리위즈</v>
      </c>
      <c r="I3353" t="str">
        <f t="shared" si="479"/>
        <v>디버프 마스터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T3353" t="str">
        <f t="shared" si="480"/>
        <v>9791137602663</v>
      </c>
      <c r="AV3353" t="str">
        <f t="shared" si="481"/>
        <v>판타지 웹소설 &gt; 퓨전 판타지</v>
      </c>
    </row>
    <row r="3354" spans="1:48" x14ac:dyDescent="0.4">
      <c r="A3354">
        <v>2313012849</v>
      </c>
      <c r="B3354">
        <v>2313013515</v>
      </c>
      <c r="C3354" t="str">
        <f>T("디버프 마스터 667화")</f>
        <v>디버프 마스터 667화</v>
      </c>
      <c r="D3354" t="str">
        <f>T("667")</f>
        <v>667</v>
      </c>
      <c r="E3354" t="str">
        <f t="shared" si="478"/>
        <v>담화공</v>
      </c>
      <c r="H3354" t="str">
        <f t="shared" si="477"/>
        <v>스토리위즈</v>
      </c>
      <c r="I3354" t="str">
        <f t="shared" si="479"/>
        <v>디버프 마스터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T3354" t="str">
        <f t="shared" si="480"/>
        <v>9791137602663</v>
      </c>
      <c r="AV3354" t="str">
        <f t="shared" si="481"/>
        <v>판타지 웹소설 &gt; 퓨전 판타지</v>
      </c>
    </row>
    <row r="3355" spans="1:48" x14ac:dyDescent="0.4">
      <c r="A3355">
        <v>2313012849</v>
      </c>
      <c r="B3355">
        <v>2313013516</v>
      </c>
      <c r="C3355" t="str">
        <f>T("디버프 마스터 668화")</f>
        <v>디버프 마스터 668화</v>
      </c>
      <c r="D3355" t="str">
        <f>T("668")</f>
        <v>668</v>
      </c>
      <c r="E3355" t="str">
        <f t="shared" si="478"/>
        <v>담화공</v>
      </c>
      <c r="H3355" t="str">
        <f t="shared" si="477"/>
        <v>스토리위즈</v>
      </c>
      <c r="I3355" t="str">
        <f t="shared" si="479"/>
        <v>디버프 마스터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T3355" t="str">
        <f t="shared" si="480"/>
        <v>9791137602663</v>
      </c>
      <c r="AV3355" t="str">
        <f t="shared" si="481"/>
        <v>판타지 웹소설 &gt; 퓨전 판타지</v>
      </c>
    </row>
    <row r="3356" spans="1:48" x14ac:dyDescent="0.4">
      <c r="A3356">
        <v>2313012849</v>
      </c>
      <c r="B3356">
        <v>2313013517</v>
      </c>
      <c r="C3356" t="str">
        <f>T("디버프 마스터 669화")</f>
        <v>디버프 마스터 669화</v>
      </c>
      <c r="D3356" t="str">
        <f>T("669")</f>
        <v>669</v>
      </c>
      <c r="E3356" t="str">
        <f t="shared" si="478"/>
        <v>담화공</v>
      </c>
      <c r="H3356" t="str">
        <f t="shared" si="477"/>
        <v>스토리위즈</v>
      </c>
      <c r="I3356" t="str">
        <f t="shared" si="479"/>
        <v>디버프 마스터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T3356" t="str">
        <f t="shared" si="480"/>
        <v>9791137602663</v>
      </c>
      <c r="AV3356" t="str">
        <f t="shared" si="481"/>
        <v>판타지 웹소설 &gt; 퓨전 판타지</v>
      </c>
    </row>
    <row r="3357" spans="1:48" x14ac:dyDescent="0.4">
      <c r="A3357">
        <v>2313012849</v>
      </c>
      <c r="B3357">
        <v>2313013518</v>
      </c>
      <c r="C3357" t="str">
        <f>T("디버프 마스터 670화")</f>
        <v>디버프 마스터 670화</v>
      </c>
      <c r="D3357" t="str">
        <f>T("670")</f>
        <v>670</v>
      </c>
      <c r="E3357" t="str">
        <f t="shared" si="478"/>
        <v>담화공</v>
      </c>
      <c r="H3357" t="str">
        <f t="shared" si="477"/>
        <v>스토리위즈</v>
      </c>
      <c r="I3357" t="str">
        <f t="shared" si="479"/>
        <v>디버프 마스터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T3357" t="str">
        <f t="shared" si="480"/>
        <v>9791137602663</v>
      </c>
      <c r="AV3357" t="str">
        <f t="shared" si="481"/>
        <v>판타지 웹소설 &gt; 퓨전 판타지</v>
      </c>
    </row>
    <row r="3358" spans="1:48" x14ac:dyDescent="0.4">
      <c r="A3358">
        <v>2313012849</v>
      </c>
      <c r="B3358">
        <v>2313013519</v>
      </c>
      <c r="C3358" t="str">
        <f>T("디버프 마스터 671화")</f>
        <v>디버프 마스터 671화</v>
      </c>
      <c r="D3358" t="str">
        <f>T("671")</f>
        <v>671</v>
      </c>
      <c r="E3358" t="str">
        <f t="shared" si="478"/>
        <v>담화공</v>
      </c>
      <c r="H3358" t="str">
        <f t="shared" si="477"/>
        <v>스토리위즈</v>
      </c>
      <c r="I3358" t="str">
        <f t="shared" si="479"/>
        <v>디버프 마스터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T3358" t="str">
        <f t="shared" si="480"/>
        <v>9791137602663</v>
      </c>
      <c r="AV3358" t="str">
        <f t="shared" si="481"/>
        <v>판타지 웹소설 &gt; 퓨전 판타지</v>
      </c>
    </row>
    <row r="3359" spans="1:48" x14ac:dyDescent="0.4">
      <c r="A3359">
        <v>2313012849</v>
      </c>
      <c r="B3359">
        <v>2313013520</v>
      </c>
      <c r="C3359" t="str">
        <f>T("디버프 마스터 672화")</f>
        <v>디버프 마스터 672화</v>
      </c>
      <c r="D3359" t="str">
        <f>T("672")</f>
        <v>672</v>
      </c>
      <c r="E3359" t="str">
        <f t="shared" si="478"/>
        <v>담화공</v>
      </c>
      <c r="H3359" t="str">
        <f t="shared" si="477"/>
        <v>스토리위즈</v>
      </c>
      <c r="I3359" t="str">
        <f t="shared" si="479"/>
        <v>디버프 마스터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T3359" t="str">
        <f t="shared" si="480"/>
        <v>9791137602663</v>
      </c>
      <c r="AV3359" t="str">
        <f t="shared" si="481"/>
        <v>판타지 웹소설 &gt; 퓨전 판타지</v>
      </c>
    </row>
    <row r="3360" spans="1:48" x14ac:dyDescent="0.4">
      <c r="A3360">
        <v>2313012849</v>
      </c>
      <c r="B3360">
        <v>2313013521</v>
      </c>
      <c r="C3360" t="str">
        <f>T("디버프 마스터 673화")</f>
        <v>디버프 마스터 673화</v>
      </c>
      <c r="D3360" t="str">
        <f>T("673")</f>
        <v>673</v>
      </c>
      <c r="E3360" t="str">
        <f t="shared" si="478"/>
        <v>담화공</v>
      </c>
      <c r="H3360" t="str">
        <f t="shared" si="477"/>
        <v>스토리위즈</v>
      </c>
      <c r="I3360" t="str">
        <f t="shared" si="479"/>
        <v>디버프 마스터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T3360" t="str">
        <f t="shared" si="480"/>
        <v>9791137602663</v>
      </c>
      <c r="AV3360" t="str">
        <f t="shared" si="481"/>
        <v>판타지 웹소설 &gt; 퓨전 판타지</v>
      </c>
    </row>
    <row r="3361" spans="1:48" x14ac:dyDescent="0.4">
      <c r="A3361">
        <v>2313012849</v>
      </c>
      <c r="B3361">
        <v>2313013522</v>
      </c>
      <c r="C3361" t="str">
        <f>T("디버프 마스터 674화")</f>
        <v>디버프 마스터 674화</v>
      </c>
      <c r="D3361" t="str">
        <f>T("674")</f>
        <v>674</v>
      </c>
      <c r="E3361" t="str">
        <f t="shared" si="478"/>
        <v>담화공</v>
      </c>
      <c r="H3361" t="str">
        <f t="shared" si="477"/>
        <v>스토리위즈</v>
      </c>
      <c r="I3361" t="str">
        <f t="shared" si="479"/>
        <v>디버프 마스터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T3361" t="str">
        <f t="shared" si="480"/>
        <v>9791137602663</v>
      </c>
      <c r="AV3361" t="str">
        <f t="shared" si="481"/>
        <v>판타지 웹소설 &gt; 퓨전 판타지</v>
      </c>
    </row>
    <row r="3362" spans="1:48" x14ac:dyDescent="0.4">
      <c r="A3362">
        <v>2313012849</v>
      </c>
      <c r="B3362">
        <v>2313013523</v>
      </c>
      <c r="C3362" t="str">
        <f>T("디버프 마스터 675화")</f>
        <v>디버프 마스터 675화</v>
      </c>
      <c r="D3362" t="str">
        <f>T("675")</f>
        <v>675</v>
      </c>
      <c r="E3362" t="str">
        <f t="shared" si="478"/>
        <v>담화공</v>
      </c>
      <c r="H3362" t="str">
        <f t="shared" si="477"/>
        <v>스토리위즈</v>
      </c>
      <c r="I3362" t="str">
        <f t="shared" si="479"/>
        <v>디버프 마스터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T3362" t="str">
        <f t="shared" si="480"/>
        <v>9791137602663</v>
      </c>
      <c r="AV3362" t="str">
        <f t="shared" si="481"/>
        <v>판타지 웹소설 &gt; 퓨전 판타지</v>
      </c>
    </row>
    <row r="3363" spans="1:48" x14ac:dyDescent="0.4">
      <c r="A3363">
        <v>2313012849</v>
      </c>
      <c r="B3363">
        <v>2313013524</v>
      </c>
      <c r="C3363" t="str">
        <f>T("디버프 마스터 676화")</f>
        <v>디버프 마스터 676화</v>
      </c>
      <c r="D3363" t="str">
        <f>T("676")</f>
        <v>676</v>
      </c>
      <c r="E3363" t="str">
        <f t="shared" si="478"/>
        <v>담화공</v>
      </c>
      <c r="H3363" t="str">
        <f t="shared" si="477"/>
        <v>스토리위즈</v>
      </c>
      <c r="I3363" t="str">
        <f t="shared" si="479"/>
        <v>디버프 마스터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T3363" t="str">
        <f t="shared" si="480"/>
        <v>9791137602663</v>
      </c>
      <c r="AV3363" t="str">
        <f t="shared" si="481"/>
        <v>판타지 웹소설 &gt; 퓨전 판타지</v>
      </c>
    </row>
    <row r="3364" spans="1:48" x14ac:dyDescent="0.4">
      <c r="A3364">
        <v>2313012849</v>
      </c>
      <c r="B3364">
        <v>2313013525</v>
      </c>
      <c r="C3364" t="str">
        <f>T("디버프 마스터 677화")</f>
        <v>디버프 마스터 677화</v>
      </c>
      <c r="D3364" t="str">
        <f>T("677")</f>
        <v>677</v>
      </c>
      <c r="E3364" t="str">
        <f t="shared" si="478"/>
        <v>담화공</v>
      </c>
      <c r="H3364" t="str">
        <f t="shared" si="477"/>
        <v>스토리위즈</v>
      </c>
      <c r="I3364" t="str">
        <f t="shared" si="479"/>
        <v>디버프 마스터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T3364" t="str">
        <f t="shared" si="480"/>
        <v>9791137602663</v>
      </c>
      <c r="AV3364" t="str">
        <f t="shared" si="481"/>
        <v>판타지 웹소설 &gt; 퓨전 판타지</v>
      </c>
    </row>
    <row r="3365" spans="1:48" x14ac:dyDescent="0.4">
      <c r="A3365">
        <v>2313012849</v>
      </c>
      <c r="B3365">
        <v>2313013526</v>
      </c>
      <c r="C3365" t="str">
        <f>T("디버프 마스터 678화")</f>
        <v>디버프 마스터 678화</v>
      </c>
      <c r="D3365" t="str">
        <f>T("678")</f>
        <v>678</v>
      </c>
      <c r="E3365" t="str">
        <f t="shared" si="478"/>
        <v>담화공</v>
      </c>
      <c r="H3365" t="str">
        <f t="shared" si="477"/>
        <v>스토리위즈</v>
      </c>
      <c r="I3365" t="str">
        <f t="shared" si="479"/>
        <v>디버프 마스터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T3365" t="str">
        <f t="shared" si="480"/>
        <v>9791137602663</v>
      </c>
      <c r="AV3365" t="str">
        <f t="shared" si="481"/>
        <v>판타지 웹소설 &gt; 퓨전 판타지</v>
      </c>
    </row>
    <row r="3366" spans="1:48" x14ac:dyDescent="0.4">
      <c r="A3366">
        <v>2313012849</v>
      </c>
      <c r="B3366">
        <v>2313013527</v>
      </c>
      <c r="C3366" t="str">
        <f>T("디버프 마스터 679화")</f>
        <v>디버프 마스터 679화</v>
      </c>
      <c r="D3366" t="str">
        <f>T("679")</f>
        <v>679</v>
      </c>
      <c r="E3366" t="str">
        <f t="shared" si="478"/>
        <v>담화공</v>
      </c>
      <c r="H3366" t="str">
        <f t="shared" si="477"/>
        <v>스토리위즈</v>
      </c>
      <c r="I3366" t="str">
        <f t="shared" si="479"/>
        <v>디버프 마스터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T3366" t="str">
        <f t="shared" si="480"/>
        <v>9791137602663</v>
      </c>
      <c r="AV3366" t="str">
        <f t="shared" si="481"/>
        <v>판타지 웹소설 &gt; 퓨전 판타지</v>
      </c>
    </row>
    <row r="3367" spans="1:48" x14ac:dyDescent="0.4">
      <c r="A3367">
        <v>2313012849</v>
      </c>
      <c r="B3367">
        <v>2313013528</v>
      </c>
      <c r="C3367" t="str">
        <f>T("디버프 마스터 680화")</f>
        <v>디버프 마스터 680화</v>
      </c>
      <c r="D3367" t="str">
        <f>T("680")</f>
        <v>680</v>
      </c>
      <c r="E3367" t="str">
        <f t="shared" si="478"/>
        <v>담화공</v>
      </c>
      <c r="H3367" t="str">
        <f t="shared" si="477"/>
        <v>스토리위즈</v>
      </c>
      <c r="I3367" t="str">
        <f t="shared" si="479"/>
        <v>디버프 마스터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T3367" t="str">
        <f t="shared" si="480"/>
        <v>9791137602663</v>
      </c>
      <c r="AV3367" t="str">
        <f t="shared" si="481"/>
        <v>판타지 웹소설 &gt; 퓨전 판타지</v>
      </c>
    </row>
    <row r="3368" spans="1:48" x14ac:dyDescent="0.4">
      <c r="A3368">
        <v>2313012849</v>
      </c>
      <c r="B3368">
        <v>2313013529</v>
      </c>
      <c r="C3368" t="str">
        <f>T("디버프 마스터 681화")</f>
        <v>디버프 마스터 681화</v>
      </c>
      <c r="D3368" t="str">
        <f>T("681")</f>
        <v>681</v>
      </c>
      <c r="E3368" t="str">
        <f t="shared" si="478"/>
        <v>담화공</v>
      </c>
      <c r="H3368" t="str">
        <f t="shared" si="477"/>
        <v>스토리위즈</v>
      </c>
      <c r="I3368" t="str">
        <f t="shared" si="479"/>
        <v>디버프 마스터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T3368" t="str">
        <f t="shared" si="480"/>
        <v>9791137602663</v>
      </c>
      <c r="AV3368" t="str">
        <f t="shared" si="481"/>
        <v>판타지 웹소설 &gt; 퓨전 판타지</v>
      </c>
    </row>
    <row r="3369" spans="1:48" x14ac:dyDescent="0.4">
      <c r="A3369">
        <v>2313012849</v>
      </c>
      <c r="B3369">
        <v>2313013530</v>
      </c>
      <c r="C3369" t="str">
        <f>T("디버프 마스터 682화")</f>
        <v>디버프 마스터 682화</v>
      </c>
      <c r="D3369" t="str">
        <f>T("682")</f>
        <v>682</v>
      </c>
      <c r="E3369" t="str">
        <f t="shared" si="478"/>
        <v>담화공</v>
      </c>
      <c r="H3369" t="str">
        <f t="shared" si="477"/>
        <v>스토리위즈</v>
      </c>
      <c r="I3369" t="str">
        <f t="shared" si="479"/>
        <v>디버프 마스터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T3369" t="str">
        <f t="shared" si="480"/>
        <v>9791137602663</v>
      </c>
      <c r="AV3369" t="str">
        <f t="shared" si="481"/>
        <v>판타지 웹소설 &gt; 퓨전 판타지</v>
      </c>
    </row>
    <row r="3370" spans="1:48" x14ac:dyDescent="0.4">
      <c r="A3370">
        <v>2313012849</v>
      </c>
      <c r="B3370">
        <v>2313013531</v>
      </c>
      <c r="C3370" t="str">
        <f>T("디버프 마스터 683화")</f>
        <v>디버프 마스터 683화</v>
      </c>
      <c r="D3370" t="str">
        <f>T("683")</f>
        <v>683</v>
      </c>
      <c r="E3370" t="str">
        <f t="shared" si="478"/>
        <v>담화공</v>
      </c>
      <c r="H3370" t="str">
        <f t="shared" si="477"/>
        <v>스토리위즈</v>
      </c>
      <c r="I3370" t="str">
        <f t="shared" si="479"/>
        <v>디버프 마스터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T3370" t="str">
        <f t="shared" si="480"/>
        <v>9791137602663</v>
      </c>
      <c r="AV3370" t="str">
        <f t="shared" si="481"/>
        <v>판타지 웹소설 &gt; 퓨전 판타지</v>
      </c>
    </row>
    <row r="3371" spans="1:48" x14ac:dyDescent="0.4">
      <c r="A3371">
        <v>2313012849</v>
      </c>
      <c r="B3371">
        <v>2313013532</v>
      </c>
      <c r="C3371" t="str">
        <f>T("디버프 마스터 684화")</f>
        <v>디버프 마스터 684화</v>
      </c>
      <c r="D3371" t="str">
        <f>T("684")</f>
        <v>684</v>
      </c>
      <c r="E3371" t="str">
        <f t="shared" si="478"/>
        <v>담화공</v>
      </c>
      <c r="H3371" t="str">
        <f t="shared" si="477"/>
        <v>스토리위즈</v>
      </c>
      <c r="I3371" t="str">
        <f t="shared" si="479"/>
        <v>디버프 마스터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T3371" t="str">
        <f t="shared" si="480"/>
        <v>9791137602663</v>
      </c>
      <c r="AV3371" t="str">
        <f t="shared" si="481"/>
        <v>판타지 웹소설 &gt; 퓨전 판타지</v>
      </c>
    </row>
    <row r="3372" spans="1:48" x14ac:dyDescent="0.4">
      <c r="A3372">
        <v>2313012849</v>
      </c>
      <c r="B3372">
        <v>2313013533</v>
      </c>
      <c r="C3372" t="str">
        <f>T("디버프 마스터 685화")</f>
        <v>디버프 마스터 685화</v>
      </c>
      <c r="D3372" t="str">
        <f>T("685")</f>
        <v>685</v>
      </c>
      <c r="E3372" t="str">
        <f t="shared" si="478"/>
        <v>담화공</v>
      </c>
      <c r="H3372" t="str">
        <f t="shared" si="477"/>
        <v>스토리위즈</v>
      </c>
      <c r="I3372" t="str">
        <f t="shared" si="479"/>
        <v>디버프 마스터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T3372" t="str">
        <f t="shared" si="480"/>
        <v>9791137602663</v>
      </c>
      <c r="AV3372" t="str">
        <f t="shared" si="481"/>
        <v>판타지 웹소설 &gt; 퓨전 판타지</v>
      </c>
    </row>
    <row r="3373" spans="1:48" x14ac:dyDescent="0.4">
      <c r="A3373">
        <v>2313012849</v>
      </c>
      <c r="B3373">
        <v>2313013534</v>
      </c>
      <c r="C3373" t="str">
        <f>T("디버프 마스터 686화")</f>
        <v>디버프 마스터 686화</v>
      </c>
      <c r="D3373" t="str">
        <f>T("686")</f>
        <v>686</v>
      </c>
      <c r="E3373" t="str">
        <f t="shared" si="478"/>
        <v>담화공</v>
      </c>
      <c r="H3373" t="str">
        <f t="shared" si="477"/>
        <v>스토리위즈</v>
      </c>
      <c r="I3373" t="str">
        <f t="shared" si="479"/>
        <v>디버프 마스터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T3373" t="str">
        <f t="shared" si="480"/>
        <v>9791137602663</v>
      </c>
      <c r="AV3373" t="str">
        <f t="shared" si="481"/>
        <v>판타지 웹소설 &gt; 퓨전 판타지</v>
      </c>
    </row>
    <row r="3374" spans="1:48" x14ac:dyDescent="0.4">
      <c r="A3374">
        <v>2313012849</v>
      </c>
      <c r="B3374">
        <v>2313013535</v>
      </c>
      <c r="C3374" t="str">
        <f>T("디버프 마스터 687화")</f>
        <v>디버프 마스터 687화</v>
      </c>
      <c r="D3374" t="str">
        <f>T("687")</f>
        <v>687</v>
      </c>
      <c r="E3374" t="str">
        <f t="shared" si="478"/>
        <v>담화공</v>
      </c>
      <c r="H3374" t="str">
        <f t="shared" si="477"/>
        <v>스토리위즈</v>
      </c>
      <c r="I3374" t="str">
        <f t="shared" si="479"/>
        <v>디버프 마스터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T3374" t="str">
        <f t="shared" si="480"/>
        <v>9791137602663</v>
      </c>
      <c r="AV3374" t="str">
        <f t="shared" si="481"/>
        <v>판타지 웹소설 &gt; 퓨전 판타지</v>
      </c>
    </row>
    <row r="3375" spans="1:48" x14ac:dyDescent="0.4">
      <c r="A3375">
        <v>2313012849</v>
      </c>
      <c r="B3375">
        <v>2313013536</v>
      </c>
      <c r="C3375" t="str">
        <f>T("디버프 마스터 688화")</f>
        <v>디버프 마스터 688화</v>
      </c>
      <c r="D3375" t="str">
        <f>T("688")</f>
        <v>688</v>
      </c>
      <c r="E3375" t="str">
        <f t="shared" si="478"/>
        <v>담화공</v>
      </c>
      <c r="H3375" t="str">
        <f t="shared" si="477"/>
        <v>스토리위즈</v>
      </c>
      <c r="I3375" t="str">
        <f t="shared" si="479"/>
        <v>디버프 마스터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T3375" t="str">
        <f t="shared" si="480"/>
        <v>9791137602663</v>
      </c>
      <c r="AV3375" t="str">
        <f t="shared" si="481"/>
        <v>판타지 웹소설 &gt; 퓨전 판타지</v>
      </c>
    </row>
    <row r="3376" spans="1:48" x14ac:dyDescent="0.4">
      <c r="A3376">
        <v>2313012849</v>
      </c>
      <c r="B3376">
        <v>2313013537</v>
      </c>
      <c r="C3376" t="str">
        <f>T("디버프 마스터 689화")</f>
        <v>디버프 마스터 689화</v>
      </c>
      <c r="D3376" t="str">
        <f>T("689")</f>
        <v>689</v>
      </c>
      <c r="E3376" t="str">
        <f t="shared" si="478"/>
        <v>담화공</v>
      </c>
      <c r="H3376" t="str">
        <f t="shared" si="477"/>
        <v>스토리위즈</v>
      </c>
      <c r="I3376" t="str">
        <f t="shared" si="479"/>
        <v>디버프 마스터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T3376" t="str">
        <f t="shared" si="480"/>
        <v>9791137602663</v>
      </c>
      <c r="AV3376" t="str">
        <f t="shared" si="481"/>
        <v>판타지 웹소설 &gt; 퓨전 판타지</v>
      </c>
    </row>
    <row r="3377" spans="1:48" x14ac:dyDescent="0.4">
      <c r="A3377">
        <v>2313012849</v>
      </c>
      <c r="B3377">
        <v>2313013538</v>
      </c>
      <c r="C3377" t="str">
        <f>T("디버프 마스터 690화")</f>
        <v>디버프 마스터 690화</v>
      </c>
      <c r="D3377" t="str">
        <f>T("690")</f>
        <v>690</v>
      </c>
      <c r="E3377" t="str">
        <f t="shared" si="478"/>
        <v>담화공</v>
      </c>
      <c r="H3377" t="str">
        <f t="shared" si="477"/>
        <v>스토리위즈</v>
      </c>
      <c r="I3377" t="str">
        <f t="shared" si="479"/>
        <v>디버프 마스터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T3377" t="str">
        <f t="shared" si="480"/>
        <v>9791137602663</v>
      </c>
      <c r="AV3377" t="str">
        <f t="shared" si="481"/>
        <v>판타지 웹소설 &gt; 퓨전 판타지</v>
      </c>
    </row>
    <row r="3378" spans="1:48" x14ac:dyDescent="0.4">
      <c r="A3378">
        <v>2313012849</v>
      </c>
      <c r="B3378">
        <v>2313013539</v>
      </c>
      <c r="C3378" t="str">
        <f>T("디버프 마스터 691화")</f>
        <v>디버프 마스터 691화</v>
      </c>
      <c r="D3378" t="str">
        <f>T("691")</f>
        <v>691</v>
      </c>
      <c r="E3378" t="str">
        <f t="shared" si="478"/>
        <v>담화공</v>
      </c>
      <c r="H3378" t="str">
        <f t="shared" si="477"/>
        <v>스토리위즈</v>
      </c>
      <c r="I3378" t="str">
        <f t="shared" si="479"/>
        <v>디버프 마스터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T3378" t="str">
        <f t="shared" si="480"/>
        <v>9791137602663</v>
      </c>
      <c r="AV3378" t="str">
        <f t="shared" si="481"/>
        <v>판타지 웹소설 &gt; 퓨전 판타지</v>
      </c>
    </row>
    <row r="3379" spans="1:48" x14ac:dyDescent="0.4">
      <c r="A3379">
        <v>2313012849</v>
      </c>
      <c r="B3379">
        <v>2313013540</v>
      </c>
      <c r="C3379" t="str">
        <f>T("디버프 마스터 692화")</f>
        <v>디버프 마스터 692화</v>
      </c>
      <c r="D3379" t="str">
        <f>T("692")</f>
        <v>692</v>
      </c>
      <c r="E3379" t="str">
        <f t="shared" si="478"/>
        <v>담화공</v>
      </c>
      <c r="H3379" t="str">
        <f t="shared" si="477"/>
        <v>스토리위즈</v>
      </c>
      <c r="I3379" t="str">
        <f t="shared" si="479"/>
        <v>디버프 마스터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T3379" t="str">
        <f t="shared" si="480"/>
        <v>9791137602663</v>
      </c>
      <c r="AV3379" t="str">
        <f t="shared" si="481"/>
        <v>판타지 웹소설 &gt; 퓨전 판타지</v>
      </c>
    </row>
    <row r="3380" spans="1:48" x14ac:dyDescent="0.4">
      <c r="A3380">
        <v>2313012849</v>
      </c>
      <c r="B3380">
        <v>2313013541</v>
      </c>
      <c r="C3380" t="str">
        <f>T("디버프 마스터 693화")</f>
        <v>디버프 마스터 693화</v>
      </c>
      <c r="D3380" t="str">
        <f>T("693")</f>
        <v>693</v>
      </c>
      <c r="E3380" t="str">
        <f t="shared" si="478"/>
        <v>담화공</v>
      </c>
      <c r="H3380" t="str">
        <f t="shared" si="477"/>
        <v>스토리위즈</v>
      </c>
      <c r="I3380" t="str">
        <f t="shared" si="479"/>
        <v>디버프 마스터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T3380" t="str">
        <f t="shared" si="480"/>
        <v>9791137602663</v>
      </c>
      <c r="AV3380" t="str">
        <f t="shared" si="481"/>
        <v>판타지 웹소설 &gt; 퓨전 판타지</v>
      </c>
    </row>
    <row r="3381" spans="1:48" x14ac:dyDescent="0.4">
      <c r="A3381">
        <v>2313012849</v>
      </c>
      <c r="B3381">
        <v>2313013542</v>
      </c>
      <c r="C3381" t="str">
        <f>T("디버프 마스터 694화")</f>
        <v>디버프 마스터 694화</v>
      </c>
      <c r="D3381" t="str">
        <f>T("694")</f>
        <v>694</v>
      </c>
      <c r="E3381" t="str">
        <f t="shared" si="478"/>
        <v>담화공</v>
      </c>
      <c r="H3381" t="str">
        <f t="shared" si="477"/>
        <v>스토리위즈</v>
      </c>
      <c r="I3381" t="str">
        <f t="shared" si="479"/>
        <v>디버프 마스터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T3381" t="str">
        <f t="shared" si="480"/>
        <v>9791137602663</v>
      </c>
      <c r="AV3381" t="str">
        <f t="shared" si="481"/>
        <v>판타지 웹소설 &gt; 퓨전 판타지</v>
      </c>
    </row>
    <row r="3382" spans="1:48" x14ac:dyDescent="0.4">
      <c r="A3382">
        <v>2313012849</v>
      </c>
      <c r="B3382">
        <v>2313013543</v>
      </c>
      <c r="C3382" t="str">
        <f>T("디버프 마스터 695화")</f>
        <v>디버프 마스터 695화</v>
      </c>
      <c r="D3382" t="str">
        <f>T("695")</f>
        <v>695</v>
      </c>
      <c r="E3382" t="str">
        <f t="shared" si="478"/>
        <v>담화공</v>
      </c>
      <c r="H3382" t="str">
        <f t="shared" si="477"/>
        <v>스토리위즈</v>
      </c>
      <c r="I3382" t="str">
        <f t="shared" si="479"/>
        <v>디버프 마스터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T3382" t="str">
        <f t="shared" si="480"/>
        <v>9791137602663</v>
      </c>
      <c r="AV3382" t="str">
        <f t="shared" si="481"/>
        <v>판타지 웹소설 &gt; 퓨전 판타지</v>
      </c>
    </row>
    <row r="3383" spans="1:48" x14ac:dyDescent="0.4">
      <c r="A3383">
        <v>2313012849</v>
      </c>
      <c r="B3383">
        <v>2313013544</v>
      </c>
      <c r="C3383" t="str">
        <f>T("디버프 마스터 696화")</f>
        <v>디버프 마스터 696화</v>
      </c>
      <c r="D3383" t="str">
        <f>T("696")</f>
        <v>696</v>
      </c>
      <c r="E3383" t="str">
        <f t="shared" si="478"/>
        <v>담화공</v>
      </c>
      <c r="H3383" t="str">
        <f t="shared" si="477"/>
        <v>스토리위즈</v>
      </c>
      <c r="I3383" t="str">
        <f t="shared" si="479"/>
        <v>디버프 마스터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T3383" t="str">
        <f t="shared" si="480"/>
        <v>9791137602663</v>
      </c>
      <c r="AV3383" t="str">
        <f t="shared" si="481"/>
        <v>판타지 웹소설 &gt; 퓨전 판타지</v>
      </c>
    </row>
    <row r="3384" spans="1:48" x14ac:dyDescent="0.4">
      <c r="A3384">
        <v>2313012849</v>
      </c>
      <c r="B3384">
        <v>2313013545</v>
      </c>
      <c r="C3384" t="str">
        <f>T("디버프 마스터 697화")</f>
        <v>디버프 마스터 697화</v>
      </c>
      <c r="D3384" t="str">
        <f>T("697")</f>
        <v>697</v>
      </c>
      <c r="E3384" t="str">
        <f t="shared" si="478"/>
        <v>담화공</v>
      </c>
      <c r="H3384" t="str">
        <f t="shared" si="477"/>
        <v>스토리위즈</v>
      </c>
      <c r="I3384" t="str">
        <f t="shared" si="479"/>
        <v>디버프 마스터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T3384" t="str">
        <f t="shared" si="480"/>
        <v>9791137602663</v>
      </c>
      <c r="AV3384" t="str">
        <f t="shared" si="481"/>
        <v>판타지 웹소설 &gt; 퓨전 판타지</v>
      </c>
    </row>
    <row r="3385" spans="1:48" x14ac:dyDescent="0.4">
      <c r="A3385">
        <v>2313012849</v>
      </c>
      <c r="B3385">
        <v>2313013546</v>
      </c>
      <c r="C3385" t="str">
        <f>T("디버프 마스터 698화")</f>
        <v>디버프 마스터 698화</v>
      </c>
      <c r="D3385" t="str">
        <f>T("698")</f>
        <v>698</v>
      </c>
      <c r="E3385" t="str">
        <f t="shared" si="478"/>
        <v>담화공</v>
      </c>
      <c r="H3385" t="str">
        <f t="shared" ref="H3385:H3448" si="482">T("스토리위즈")</f>
        <v>스토리위즈</v>
      </c>
      <c r="I3385" t="str">
        <f t="shared" si="479"/>
        <v>디버프 마스터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T3385" t="str">
        <f t="shared" si="480"/>
        <v>9791137602663</v>
      </c>
      <c r="AV3385" t="str">
        <f t="shared" si="481"/>
        <v>판타지 웹소설 &gt; 퓨전 판타지</v>
      </c>
    </row>
    <row r="3386" spans="1:48" x14ac:dyDescent="0.4">
      <c r="A3386">
        <v>2313012849</v>
      </c>
      <c r="B3386">
        <v>2313013547</v>
      </c>
      <c r="C3386" t="str">
        <f>T("디버프 마스터 699화")</f>
        <v>디버프 마스터 699화</v>
      </c>
      <c r="D3386" t="str">
        <f>T("699")</f>
        <v>699</v>
      </c>
      <c r="E3386" t="str">
        <f t="shared" si="478"/>
        <v>담화공</v>
      </c>
      <c r="H3386" t="str">
        <f t="shared" si="482"/>
        <v>스토리위즈</v>
      </c>
      <c r="I3386" t="str">
        <f t="shared" si="479"/>
        <v>디버프 마스터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T3386" t="str">
        <f t="shared" si="480"/>
        <v>9791137602663</v>
      </c>
      <c r="AV3386" t="str">
        <f t="shared" si="481"/>
        <v>판타지 웹소설 &gt; 퓨전 판타지</v>
      </c>
    </row>
    <row r="3387" spans="1:48" x14ac:dyDescent="0.4">
      <c r="A3387">
        <v>2313012849</v>
      </c>
      <c r="B3387">
        <v>2313013548</v>
      </c>
      <c r="C3387" t="str">
        <f>T("디버프 마스터 700화")</f>
        <v>디버프 마스터 700화</v>
      </c>
      <c r="D3387" t="str">
        <f>T("700")</f>
        <v>700</v>
      </c>
      <c r="E3387" t="str">
        <f t="shared" si="478"/>
        <v>담화공</v>
      </c>
      <c r="H3387" t="str">
        <f t="shared" si="482"/>
        <v>스토리위즈</v>
      </c>
      <c r="I3387" t="str">
        <f t="shared" si="479"/>
        <v>디버프 마스터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T3387" t="str">
        <f t="shared" si="480"/>
        <v>9791137602663</v>
      </c>
      <c r="AV3387" t="str">
        <f t="shared" si="481"/>
        <v>판타지 웹소설 &gt; 퓨전 판타지</v>
      </c>
    </row>
    <row r="3388" spans="1:48" x14ac:dyDescent="0.4">
      <c r="A3388">
        <v>2313012849</v>
      </c>
      <c r="B3388">
        <v>2313013549</v>
      </c>
      <c r="C3388" t="str">
        <f>T("디버프 마스터 701화")</f>
        <v>디버프 마스터 701화</v>
      </c>
      <c r="D3388" t="str">
        <f>T("701")</f>
        <v>701</v>
      </c>
      <c r="E3388" t="str">
        <f t="shared" si="478"/>
        <v>담화공</v>
      </c>
      <c r="H3388" t="str">
        <f t="shared" si="482"/>
        <v>스토리위즈</v>
      </c>
      <c r="I3388" t="str">
        <f t="shared" si="479"/>
        <v>디버프 마스터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T3388" t="str">
        <f t="shared" si="480"/>
        <v>9791137602663</v>
      </c>
      <c r="AV3388" t="str">
        <f t="shared" si="481"/>
        <v>판타지 웹소설 &gt; 퓨전 판타지</v>
      </c>
    </row>
    <row r="3389" spans="1:48" x14ac:dyDescent="0.4">
      <c r="A3389">
        <v>2313012849</v>
      </c>
      <c r="B3389">
        <v>2313013550</v>
      </c>
      <c r="C3389" t="str">
        <f>T("디버프 마스터 702화")</f>
        <v>디버프 마스터 702화</v>
      </c>
      <c r="D3389" t="str">
        <f>T("702")</f>
        <v>702</v>
      </c>
      <c r="E3389" t="str">
        <f t="shared" si="478"/>
        <v>담화공</v>
      </c>
      <c r="H3389" t="str">
        <f t="shared" si="482"/>
        <v>스토리위즈</v>
      </c>
      <c r="I3389" t="str">
        <f t="shared" si="479"/>
        <v>디버프 마스터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T3389" t="str">
        <f t="shared" si="480"/>
        <v>9791137602663</v>
      </c>
      <c r="AV3389" t="str">
        <f t="shared" si="481"/>
        <v>판타지 웹소설 &gt; 퓨전 판타지</v>
      </c>
    </row>
    <row r="3390" spans="1:48" x14ac:dyDescent="0.4">
      <c r="A3390">
        <v>2313012849</v>
      </c>
      <c r="B3390">
        <v>2313013551</v>
      </c>
      <c r="C3390" t="str">
        <f>T("디버프 마스터 703화")</f>
        <v>디버프 마스터 703화</v>
      </c>
      <c r="D3390" t="str">
        <f>T("703")</f>
        <v>703</v>
      </c>
      <c r="E3390" t="str">
        <f t="shared" si="478"/>
        <v>담화공</v>
      </c>
      <c r="H3390" t="str">
        <f t="shared" si="482"/>
        <v>스토리위즈</v>
      </c>
      <c r="I3390" t="str">
        <f t="shared" si="479"/>
        <v>디버프 마스터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T3390" t="str">
        <f t="shared" si="480"/>
        <v>9791137602663</v>
      </c>
      <c r="AV3390" t="str">
        <f t="shared" si="481"/>
        <v>판타지 웹소설 &gt; 퓨전 판타지</v>
      </c>
    </row>
    <row r="3391" spans="1:48" x14ac:dyDescent="0.4">
      <c r="A3391">
        <v>2313012849</v>
      </c>
      <c r="B3391">
        <v>2313013552</v>
      </c>
      <c r="C3391" t="str">
        <f>T("디버프 마스터 704화")</f>
        <v>디버프 마스터 704화</v>
      </c>
      <c r="D3391" t="str">
        <f>T("704")</f>
        <v>704</v>
      </c>
      <c r="E3391" t="str">
        <f t="shared" si="478"/>
        <v>담화공</v>
      </c>
      <c r="H3391" t="str">
        <f t="shared" si="482"/>
        <v>스토리위즈</v>
      </c>
      <c r="I3391" t="str">
        <f t="shared" si="479"/>
        <v>디버프 마스터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T3391" t="str">
        <f t="shared" si="480"/>
        <v>9791137602663</v>
      </c>
      <c r="AV3391" t="str">
        <f t="shared" si="481"/>
        <v>판타지 웹소설 &gt; 퓨전 판타지</v>
      </c>
    </row>
    <row r="3392" spans="1:48" x14ac:dyDescent="0.4">
      <c r="A3392">
        <v>2313012849</v>
      </c>
      <c r="B3392">
        <v>2313013553</v>
      </c>
      <c r="C3392" t="str">
        <f>T("디버프 마스터 705화")</f>
        <v>디버프 마스터 705화</v>
      </c>
      <c r="D3392" t="str">
        <f>T("705")</f>
        <v>705</v>
      </c>
      <c r="E3392" t="str">
        <f t="shared" si="478"/>
        <v>담화공</v>
      </c>
      <c r="H3392" t="str">
        <f t="shared" si="482"/>
        <v>스토리위즈</v>
      </c>
      <c r="I3392" t="str">
        <f t="shared" si="479"/>
        <v>디버프 마스터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si="480"/>
        <v>9791137602663</v>
      </c>
      <c r="AV3392" t="str">
        <f t="shared" si="481"/>
        <v>판타지 웹소설 &gt; 퓨전 판타지</v>
      </c>
    </row>
    <row r="3393" spans="1:48" x14ac:dyDescent="0.4">
      <c r="A3393">
        <v>2313012849</v>
      </c>
      <c r="B3393">
        <v>2313013554</v>
      </c>
      <c r="C3393" t="str">
        <f>T("디버프 마스터 706화")</f>
        <v>디버프 마스터 706화</v>
      </c>
      <c r="D3393" t="str">
        <f>T("706")</f>
        <v>706</v>
      </c>
      <c r="E3393" t="str">
        <f t="shared" si="478"/>
        <v>담화공</v>
      </c>
      <c r="H3393" t="str">
        <f t="shared" si="482"/>
        <v>스토리위즈</v>
      </c>
      <c r="I3393" t="str">
        <f t="shared" si="479"/>
        <v>디버프 마스터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480"/>
        <v>9791137602663</v>
      </c>
      <c r="AV3393" t="str">
        <f t="shared" si="481"/>
        <v>판타지 웹소설 &gt; 퓨전 판타지</v>
      </c>
    </row>
    <row r="3394" spans="1:48" x14ac:dyDescent="0.4">
      <c r="A3394">
        <v>2313012849</v>
      </c>
      <c r="B3394">
        <v>2313013555</v>
      </c>
      <c r="C3394" t="str">
        <f>T("디버프 마스터 707화")</f>
        <v>디버프 마스터 707화</v>
      </c>
      <c r="D3394" t="str">
        <f>T("707")</f>
        <v>707</v>
      </c>
      <c r="E3394" t="str">
        <f t="shared" si="478"/>
        <v>담화공</v>
      </c>
      <c r="H3394" t="str">
        <f t="shared" si="482"/>
        <v>스토리위즈</v>
      </c>
      <c r="I3394" t="str">
        <f t="shared" si="479"/>
        <v>디버프 마스터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480"/>
        <v>9791137602663</v>
      </c>
      <c r="AV3394" t="str">
        <f t="shared" si="481"/>
        <v>판타지 웹소설 &gt; 퓨전 판타지</v>
      </c>
    </row>
    <row r="3395" spans="1:48" x14ac:dyDescent="0.4">
      <c r="A3395">
        <v>2313012849</v>
      </c>
      <c r="B3395">
        <v>2313013556</v>
      </c>
      <c r="C3395" t="str">
        <f>T("디버프 마스터 708화")</f>
        <v>디버프 마스터 708화</v>
      </c>
      <c r="D3395" t="str">
        <f>T("708")</f>
        <v>708</v>
      </c>
      <c r="E3395" t="str">
        <f t="shared" si="478"/>
        <v>담화공</v>
      </c>
      <c r="H3395" t="str">
        <f t="shared" si="482"/>
        <v>스토리위즈</v>
      </c>
      <c r="I3395" t="str">
        <f t="shared" si="479"/>
        <v>디버프 마스터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480"/>
        <v>9791137602663</v>
      </c>
      <c r="AV3395" t="str">
        <f t="shared" si="481"/>
        <v>판타지 웹소설 &gt; 퓨전 판타지</v>
      </c>
    </row>
    <row r="3396" spans="1:48" x14ac:dyDescent="0.4">
      <c r="A3396">
        <v>2313012849</v>
      </c>
      <c r="B3396">
        <v>2313013557</v>
      </c>
      <c r="C3396" t="str">
        <f>T("디버프 마스터 709화")</f>
        <v>디버프 마스터 709화</v>
      </c>
      <c r="D3396" t="str">
        <f>T("709")</f>
        <v>709</v>
      </c>
      <c r="E3396" t="str">
        <f t="shared" si="478"/>
        <v>담화공</v>
      </c>
      <c r="H3396" t="str">
        <f t="shared" si="482"/>
        <v>스토리위즈</v>
      </c>
      <c r="I3396" t="str">
        <f t="shared" si="479"/>
        <v>디버프 마스터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si="480"/>
        <v>9791137602663</v>
      </c>
      <c r="AV3396" t="str">
        <f t="shared" si="481"/>
        <v>판타지 웹소설 &gt; 퓨전 판타지</v>
      </c>
    </row>
    <row r="3397" spans="1:48" x14ac:dyDescent="0.4">
      <c r="A3397">
        <v>2313012849</v>
      </c>
      <c r="B3397">
        <v>2313013558</v>
      </c>
      <c r="C3397" t="str">
        <f>T("디버프 마스터 710화")</f>
        <v>디버프 마스터 710화</v>
      </c>
      <c r="D3397" t="str">
        <f>T("710")</f>
        <v>710</v>
      </c>
      <c r="E3397" t="str">
        <f t="shared" si="478"/>
        <v>담화공</v>
      </c>
      <c r="H3397" t="str">
        <f t="shared" si="482"/>
        <v>스토리위즈</v>
      </c>
      <c r="I3397" t="str">
        <f t="shared" si="479"/>
        <v>디버프 마스터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480"/>
        <v>9791137602663</v>
      </c>
      <c r="AV3397" t="str">
        <f t="shared" si="481"/>
        <v>판타지 웹소설 &gt; 퓨전 판타지</v>
      </c>
    </row>
    <row r="3398" spans="1:48" x14ac:dyDescent="0.4">
      <c r="A3398">
        <v>2313012849</v>
      </c>
      <c r="B3398">
        <v>2313013559</v>
      </c>
      <c r="C3398" t="str">
        <f>T("디버프 마스터 711화")</f>
        <v>디버프 마스터 711화</v>
      </c>
      <c r="D3398" t="str">
        <f>T("711")</f>
        <v>711</v>
      </c>
      <c r="E3398" t="str">
        <f t="shared" si="478"/>
        <v>담화공</v>
      </c>
      <c r="H3398" t="str">
        <f t="shared" si="482"/>
        <v>스토리위즈</v>
      </c>
      <c r="I3398" t="str">
        <f t="shared" si="479"/>
        <v>디버프 마스터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480"/>
        <v>9791137602663</v>
      </c>
      <c r="AV3398" t="str">
        <f t="shared" si="481"/>
        <v>판타지 웹소설 &gt; 퓨전 판타지</v>
      </c>
    </row>
    <row r="3399" spans="1:48" x14ac:dyDescent="0.4">
      <c r="A3399">
        <v>2313012849</v>
      </c>
      <c r="B3399">
        <v>2313013560</v>
      </c>
      <c r="C3399" t="str">
        <f>T("디버프 마스터 712화")</f>
        <v>디버프 마스터 712화</v>
      </c>
      <c r="D3399" t="str">
        <f>T("712")</f>
        <v>712</v>
      </c>
      <c r="E3399" t="str">
        <f t="shared" si="478"/>
        <v>담화공</v>
      </c>
      <c r="H3399" t="str">
        <f t="shared" si="482"/>
        <v>스토리위즈</v>
      </c>
      <c r="I3399" t="str">
        <f t="shared" si="479"/>
        <v>디버프 마스터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480"/>
        <v>9791137602663</v>
      </c>
      <c r="AV3399" t="str">
        <f t="shared" si="481"/>
        <v>판타지 웹소설 &gt; 퓨전 판타지</v>
      </c>
    </row>
    <row r="3400" spans="1:48" x14ac:dyDescent="0.4">
      <c r="A3400">
        <v>2313012849</v>
      </c>
      <c r="B3400">
        <v>2313013561</v>
      </c>
      <c r="C3400" t="str">
        <f>T("디버프 마스터 713화")</f>
        <v>디버프 마스터 713화</v>
      </c>
      <c r="D3400" t="str">
        <f>T("713")</f>
        <v>713</v>
      </c>
      <c r="E3400" t="str">
        <f t="shared" ref="E3400:E3463" si="483">T("담화공")</f>
        <v>담화공</v>
      </c>
      <c r="H3400" t="str">
        <f t="shared" si="482"/>
        <v>스토리위즈</v>
      </c>
      <c r="I3400" t="str">
        <f t="shared" ref="I3400:I3463" si="484">T("디버프 마스터")</f>
        <v>디버프 마스터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ref="AT3400:AT3463" si="485">T("9791137602663")</f>
        <v>9791137602663</v>
      </c>
      <c r="AV3400" t="str">
        <f t="shared" ref="AV3400:AV3463" si="486">T("판타지 웹소설 &gt; 퓨전 판타지")</f>
        <v>판타지 웹소설 &gt; 퓨전 판타지</v>
      </c>
    </row>
    <row r="3401" spans="1:48" x14ac:dyDescent="0.4">
      <c r="A3401">
        <v>2313012849</v>
      </c>
      <c r="B3401">
        <v>2313013562</v>
      </c>
      <c r="C3401" t="str">
        <f>T("디버프 마스터 714화")</f>
        <v>디버프 마스터 714화</v>
      </c>
      <c r="D3401" t="str">
        <f>T("714")</f>
        <v>714</v>
      </c>
      <c r="E3401" t="str">
        <f t="shared" si="483"/>
        <v>담화공</v>
      </c>
      <c r="H3401" t="str">
        <f t="shared" si="482"/>
        <v>스토리위즈</v>
      </c>
      <c r="I3401" t="str">
        <f t="shared" si="484"/>
        <v>디버프 마스터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485"/>
        <v>9791137602663</v>
      </c>
      <c r="AV3401" t="str">
        <f t="shared" si="486"/>
        <v>판타지 웹소설 &gt; 퓨전 판타지</v>
      </c>
    </row>
    <row r="3402" spans="1:48" x14ac:dyDescent="0.4">
      <c r="A3402">
        <v>2313012849</v>
      </c>
      <c r="B3402">
        <v>2313013563</v>
      </c>
      <c r="C3402" t="str">
        <f>T("디버프 마스터 715화")</f>
        <v>디버프 마스터 715화</v>
      </c>
      <c r="D3402" t="str">
        <f>T("715")</f>
        <v>715</v>
      </c>
      <c r="E3402" t="str">
        <f t="shared" si="483"/>
        <v>담화공</v>
      </c>
      <c r="H3402" t="str">
        <f t="shared" si="482"/>
        <v>스토리위즈</v>
      </c>
      <c r="I3402" t="str">
        <f t="shared" si="484"/>
        <v>디버프 마스터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T3402" t="str">
        <f t="shared" si="485"/>
        <v>9791137602663</v>
      </c>
      <c r="AV3402" t="str">
        <f t="shared" si="486"/>
        <v>판타지 웹소설 &gt; 퓨전 판타지</v>
      </c>
    </row>
    <row r="3403" spans="1:48" x14ac:dyDescent="0.4">
      <c r="A3403">
        <v>2313012849</v>
      </c>
      <c r="B3403">
        <v>2313013564</v>
      </c>
      <c r="C3403" t="str">
        <f>T("디버프 마스터 716화")</f>
        <v>디버프 마스터 716화</v>
      </c>
      <c r="D3403" t="str">
        <f>T("716")</f>
        <v>716</v>
      </c>
      <c r="E3403" t="str">
        <f t="shared" si="483"/>
        <v>담화공</v>
      </c>
      <c r="H3403" t="str">
        <f t="shared" si="482"/>
        <v>스토리위즈</v>
      </c>
      <c r="I3403" t="str">
        <f t="shared" si="484"/>
        <v>디버프 마스터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T3403" t="str">
        <f t="shared" si="485"/>
        <v>9791137602663</v>
      </c>
      <c r="AV3403" t="str">
        <f t="shared" si="486"/>
        <v>판타지 웹소설 &gt; 퓨전 판타지</v>
      </c>
    </row>
    <row r="3404" spans="1:48" x14ac:dyDescent="0.4">
      <c r="A3404">
        <v>2313012849</v>
      </c>
      <c r="B3404">
        <v>2313013565</v>
      </c>
      <c r="C3404" t="str">
        <f>T("디버프 마스터 717화")</f>
        <v>디버프 마스터 717화</v>
      </c>
      <c r="D3404" t="str">
        <f>T("717")</f>
        <v>717</v>
      </c>
      <c r="E3404" t="str">
        <f t="shared" si="483"/>
        <v>담화공</v>
      </c>
      <c r="H3404" t="str">
        <f t="shared" si="482"/>
        <v>스토리위즈</v>
      </c>
      <c r="I3404" t="str">
        <f t="shared" si="484"/>
        <v>디버프 마스터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T3404" t="str">
        <f t="shared" si="485"/>
        <v>9791137602663</v>
      </c>
      <c r="AV3404" t="str">
        <f t="shared" si="486"/>
        <v>판타지 웹소설 &gt; 퓨전 판타지</v>
      </c>
    </row>
    <row r="3405" spans="1:48" x14ac:dyDescent="0.4">
      <c r="A3405">
        <v>2313012849</v>
      </c>
      <c r="B3405">
        <v>2313013566</v>
      </c>
      <c r="C3405" t="str">
        <f>T("디버프 마스터 718화")</f>
        <v>디버프 마스터 718화</v>
      </c>
      <c r="D3405" t="str">
        <f>T("718")</f>
        <v>718</v>
      </c>
      <c r="E3405" t="str">
        <f t="shared" si="483"/>
        <v>담화공</v>
      </c>
      <c r="H3405" t="str">
        <f t="shared" si="482"/>
        <v>스토리위즈</v>
      </c>
      <c r="I3405" t="str">
        <f t="shared" si="484"/>
        <v>디버프 마스터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T3405" t="str">
        <f t="shared" si="485"/>
        <v>9791137602663</v>
      </c>
      <c r="AV3405" t="str">
        <f t="shared" si="486"/>
        <v>판타지 웹소설 &gt; 퓨전 판타지</v>
      </c>
    </row>
    <row r="3406" spans="1:48" x14ac:dyDescent="0.4">
      <c r="A3406">
        <v>2313012849</v>
      </c>
      <c r="B3406">
        <v>2313013567</v>
      </c>
      <c r="C3406" t="str">
        <f>T("디버프 마스터 719화")</f>
        <v>디버프 마스터 719화</v>
      </c>
      <c r="D3406" t="str">
        <f>T("719")</f>
        <v>719</v>
      </c>
      <c r="E3406" t="str">
        <f t="shared" si="483"/>
        <v>담화공</v>
      </c>
      <c r="H3406" t="str">
        <f t="shared" si="482"/>
        <v>스토리위즈</v>
      </c>
      <c r="I3406" t="str">
        <f t="shared" si="484"/>
        <v>디버프 마스터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T3406" t="str">
        <f t="shared" si="485"/>
        <v>9791137602663</v>
      </c>
      <c r="AV3406" t="str">
        <f t="shared" si="486"/>
        <v>판타지 웹소설 &gt; 퓨전 판타지</v>
      </c>
    </row>
    <row r="3407" spans="1:48" x14ac:dyDescent="0.4">
      <c r="A3407">
        <v>2313012849</v>
      </c>
      <c r="B3407">
        <v>2313013568</v>
      </c>
      <c r="C3407" t="str">
        <f>T("디버프 마스터 720화")</f>
        <v>디버프 마스터 720화</v>
      </c>
      <c r="D3407" t="str">
        <f>T("720")</f>
        <v>720</v>
      </c>
      <c r="E3407" t="str">
        <f t="shared" si="483"/>
        <v>담화공</v>
      </c>
      <c r="H3407" t="str">
        <f t="shared" si="482"/>
        <v>스토리위즈</v>
      </c>
      <c r="I3407" t="str">
        <f t="shared" si="484"/>
        <v>디버프 마스터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T3407" t="str">
        <f t="shared" si="485"/>
        <v>9791137602663</v>
      </c>
      <c r="AV3407" t="str">
        <f t="shared" si="486"/>
        <v>판타지 웹소설 &gt; 퓨전 판타지</v>
      </c>
    </row>
    <row r="3408" spans="1:48" x14ac:dyDescent="0.4">
      <c r="A3408">
        <v>2313012849</v>
      </c>
      <c r="B3408">
        <v>2313013569</v>
      </c>
      <c r="C3408" t="str">
        <f>T("디버프 마스터 721화")</f>
        <v>디버프 마스터 721화</v>
      </c>
      <c r="D3408" t="str">
        <f>T("721")</f>
        <v>721</v>
      </c>
      <c r="E3408" t="str">
        <f t="shared" si="483"/>
        <v>담화공</v>
      </c>
      <c r="H3408" t="str">
        <f t="shared" si="482"/>
        <v>스토리위즈</v>
      </c>
      <c r="I3408" t="str">
        <f t="shared" si="484"/>
        <v>디버프 마스터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T3408" t="str">
        <f t="shared" si="485"/>
        <v>9791137602663</v>
      </c>
      <c r="AV3408" t="str">
        <f t="shared" si="486"/>
        <v>판타지 웹소설 &gt; 퓨전 판타지</v>
      </c>
    </row>
    <row r="3409" spans="1:48" x14ac:dyDescent="0.4">
      <c r="A3409">
        <v>2313012849</v>
      </c>
      <c r="B3409">
        <v>2313013570</v>
      </c>
      <c r="C3409" t="str">
        <f>T("디버프 마스터 722화")</f>
        <v>디버프 마스터 722화</v>
      </c>
      <c r="D3409" t="str">
        <f>T("722")</f>
        <v>722</v>
      </c>
      <c r="E3409" t="str">
        <f t="shared" si="483"/>
        <v>담화공</v>
      </c>
      <c r="H3409" t="str">
        <f t="shared" si="482"/>
        <v>스토리위즈</v>
      </c>
      <c r="I3409" t="str">
        <f t="shared" si="484"/>
        <v>디버프 마스터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T3409" t="str">
        <f t="shared" si="485"/>
        <v>9791137602663</v>
      </c>
      <c r="AV3409" t="str">
        <f t="shared" si="486"/>
        <v>판타지 웹소설 &gt; 퓨전 판타지</v>
      </c>
    </row>
    <row r="3410" spans="1:48" x14ac:dyDescent="0.4">
      <c r="A3410">
        <v>2313012849</v>
      </c>
      <c r="B3410">
        <v>2313013571</v>
      </c>
      <c r="C3410" t="str">
        <f>T("디버프 마스터 723화")</f>
        <v>디버프 마스터 723화</v>
      </c>
      <c r="D3410" t="str">
        <f>T("723")</f>
        <v>723</v>
      </c>
      <c r="E3410" t="str">
        <f t="shared" si="483"/>
        <v>담화공</v>
      </c>
      <c r="H3410" t="str">
        <f t="shared" si="482"/>
        <v>스토리위즈</v>
      </c>
      <c r="I3410" t="str">
        <f t="shared" si="484"/>
        <v>디버프 마스터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T3410" t="str">
        <f t="shared" si="485"/>
        <v>9791137602663</v>
      </c>
      <c r="AV3410" t="str">
        <f t="shared" si="486"/>
        <v>판타지 웹소설 &gt; 퓨전 판타지</v>
      </c>
    </row>
    <row r="3411" spans="1:48" x14ac:dyDescent="0.4">
      <c r="A3411">
        <v>2313012849</v>
      </c>
      <c r="B3411">
        <v>2313013572</v>
      </c>
      <c r="C3411" t="str">
        <f>T("디버프 마스터 724화")</f>
        <v>디버프 마스터 724화</v>
      </c>
      <c r="D3411" t="str">
        <f>T("724")</f>
        <v>724</v>
      </c>
      <c r="E3411" t="str">
        <f t="shared" si="483"/>
        <v>담화공</v>
      </c>
      <c r="H3411" t="str">
        <f t="shared" si="482"/>
        <v>스토리위즈</v>
      </c>
      <c r="I3411" t="str">
        <f t="shared" si="484"/>
        <v>디버프 마스터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T3411" t="str">
        <f t="shared" si="485"/>
        <v>9791137602663</v>
      </c>
      <c r="AV3411" t="str">
        <f t="shared" si="486"/>
        <v>판타지 웹소설 &gt; 퓨전 판타지</v>
      </c>
    </row>
    <row r="3412" spans="1:48" x14ac:dyDescent="0.4">
      <c r="A3412">
        <v>2313012849</v>
      </c>
      <c r="B3412">
        <v>2313013573</v>
      </c>
      <c r="C3412" t="str">
        <f>T("디버프 마스터 725화")</f>
        <v>디버프 마스터 725화</v>
      </c>
      <c r="D3412" t="str">
        <f>T("725")</f>
        <v>725</v>
      </c>
      <c r="E3412" t="str">
        <f t="shared" si="483"/>
        <v>담화공</v>
      </c>
      <c r="H3412" t="str">
        <f t="shared" si="482"/>
        <v>스토리위즈</v>
      </c>
      <c r="I3412" t="str">
        <f t="shared" si="484"/>
        <v>디버프 마스터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T3412" t="str">
        <f t="shared" si="485"/>
        <v>9791137602663</v>
      </c>
      <c r="AV3412" t="str">
        <f t="shared" si="486"/>
        <v>판타지 웹소설 &gt; 퓨전 판타지</v>
      </c>
    </row>
    <row r="3413" spans="1:48" x14ac:dyDescent="0.4">
      <c r="A3413">
        <v>2313012849</v>
      </c>
      <c r="B3413">
        <v>2313013574</v>
      </c>
      <c r="C3413" t="str">
        <f>T("디버프 마스터 726화")</f>
        <v>디버프 마스터 726화</v>
      </c>
      <c r="D3413" t="str">
        <f>T("726")</f>
        <v>726</v>
      </c>
      <c r="E3413" t="str">
        <f t="shared" si="483"/>
        <v>담화공</v>
      </c>
      <c r="H3413" t="str">
        <f t="shared" si="482"/>
        <v>스토리위즈</v>
      </c>
      <c r="I3413" t="str">
        <f t="shared" si="484"/>
        <v>디버프 마스터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T3413" t="str">
        <f t="shared" si="485"/>
        <v>9791137602663</v>
      </c>
      <c r="AV3413" t="str">
        <f t="shared" si="486"/>
        <v>판타지 웹소설 &gt; 퓨전 판타지</v>
      </c>
    </row>
    <row r="3414" spans="1:48" x14ac:dyDescent="0.4">
      <c r="A3414">
        <v>2313012849</v>
      </c>
      <c r="B3414">
        <v>2313013575</v>
      </c>
      <c r="C3414" t="str">
        <f>T("디버프 마스터 727화")</f>
        <v>디버프 마스터 727화</v>
      </c>
      <c r="D3414" t="str">
        <f>T("727")</f>
        <v>727</v>
      </c>
      <c r="E3414" t="str">
        <f t="shared" si="483"/>
        <v>담화공</v>
      </c>
      <c r="H3414" t="str">
        <f t="shared" si="482"/>
        <v>스토리위즈</v>
      </c>
      <c r="I3414" t="str">
        <f t="shared" si="484"/>
        <v>디버프 마스터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T3414" t="str">
        <f t="shared" si="485"/>
        <v>9791137602663</v>
      </c>
      <c r="AV3414" t="str">
        <f t="shared" si="486"/>
        <v>판타지 웹소설 &gt; 퓨전 판타지</v>
      </c>
    </row>
    <row r="3415" spans="1:48" x14ac:dyDescent="0.4">
      <c r="A3415">
        <v>2313012849</v>
      </c>
      <c r="B3415">
        <v>2313013576</v>
      </c>
      <c r="C3415" t="str">
        <f>T("디버프 마스터 728화")</f>
        <v>디버프 마스터 728화</v>
      </c>
      <c r="D3415" t="str">
        <f>T("728")</f>
        <v>728</v>
      </c>
      <c r="E3415" t="str">
        <f t="shared" si="483"/>
        <v>담화공</v>
      </c>
      <c r="H3415" t="str">
        <f t="shared" si="482"/>
        <v>스토리위즈</v>
      </c>
      <c r="I3415" t="str">
        <f t="shared" si="484"/>
        <v>디버프 마스터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T3415" t="str">
        <f t="shared" si="485"/>
        <v>9791137602663</v>
      </c>
      <c r="AV3415" t="str">
        <f t="shared" si="486"/>
        <v>판타지 웹소설 &gt; 퓨전 판타지</v>
      </c>
    </row>
    <row r="3416" spans="1:48" x14ac:dyDescent="0.4">
      <c r="A3416">
        <v>2313012849</v>
      </c>
      <c r="B3416">
        <v>2313013577</v>
      </c>
      <c r="C3416" t="str">
        <f>T("디버프 마스터 729화")</f>
        <v>디버프 마스터 729화</v>
      </c>
      <c r="D3416" t="str">
        <f>T("729")</f>
        <v>729</v>
      </c>
      <c r="E3416" t="str">
        <f t="shared" si="483"/>
        <v>담화공</v>
      </c>
      <c r="H3416" t="str">
        <f t="shared" si="482"/>
        <v>스토리위즈</v>
      </c>
      <c r="I3416" t="str">
        <f t="shared" si="484"/>
        <v>디버프 마스터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T3416" t="str">
        <f t="shared" si="485"/>
        <v>9791137602663</v>
      </c>
      <c r="AV3416" t="str">
        <f t="shared" si="486"/>
        <v>판타지 웹소설 &gt; 퓨전 판타지</v>
      </c>
    </row>
    <row r="3417" spans="1:48" x14ac:dyDescent="0.4">
      <c r="A3417">
        <v>2313012849</v>
      </c>
      <c r="B3417">
        <v>2313013578</v>
      </c>
      <c r="C3417" t="str">
        <f>T("디버프 마스터 730화")</f>
        <v>디버프 마스터 730화</v>
      </c>
      <c r="D3417" t="str">
        <f>T("730")</f>
        <v>730</v>
      </c>
      <c r="E3417" t="str">
        <f t="shared" si="483"/>
        <v>담화공</v>
      </c>
      <c r="H3417" t="str">
        <f t="shared" si="482"/>
        <v>스토리위즈</v>
      </c>
      <c r="I3417" t="str">
        <f t="shared" si="484"/>
        <v>디버프 마스터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T3417" t="str">
        <f t="shared" si="485"/>
        <v>9791137602663</v>
      </c>
      <c r="AV3417" t="str">
        <f t="shared" si="486"/>
        <v>판타지 웹소설 &gt; 퓨전 판타지</v>
      </c>
    </row>
    <row r="3418" spans="1:48" x14ac:dyDescent="0.4">
      <c r="A3418">
        <v>2313012849</v>
      </c>
      <c r="B3418">
        <v>2313013579</v>
      </c>
      <c r="C3418" t="str">
        <f>T("디버프 마스터 731화")</f>
        <v>디버프 마스터 731화</v>
      </c>
      <c r="D3418" t="str">
        <f>T("731")</f>
        <v>731</v>
      </c>
      <c r="E3418" t="str">
        <f t="shared" si="483"/>
        <v>담화공</v>
      </c>
      <c r="H3418" t="str">
        <f t="shared" si="482"/>
        <v>스토리위즈</v>
      </c>
      <c r="I3418" t="str">
        <f t="shared" si="484"/>
        <v>디버프 마스터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T3418" t="str">
        <f t="shared" si="485"/>
        <v>9791137602663</v>
      </c>
      <c r="AV3418" t="str">
        <f t="shared" si="486"/>
        <v>판타지 웹소설 &gt; 퓨전 판타지</v>
      </c>
    </row>
    <row r="3419" spans="1:48" x14ac:dyDescent="0.4">
      <c r="A3419">
        <v>2313012849</v>
      </c>
      <c r="B3419">
        <v>2313013580</v>
      </c>
      <c r="C3419" t="str">
        <f>T("디버프 마스터 732화")</f>
        <v>디버프 마스터 732화</v>
      </c>
      <c r="D3419" t="str">
        <f>T("732")</f>
        <v>732</v>
      </c>
      <c r="E3419" t="str">
        <f t="shared" si="483"/>
        <v>담화공</v>
      </c>
      <c r="H3419" t="str">
        <f t="shared" si="482"/>
        <v>스토리위즈</v>
      </c>
      <c r="I3419" t="str">
        <f t="shared" si="484"/>
        <v>디버프 마스터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T3419" t="str">
        <f t="shared" si="485"/>
        <v>9791137602663</v>
      </c>
      <c r="AV3419" t="str">
        <f t="shared" si="486"/>
        <v>판타지 웹소설 &gt; 퓨전 판타지</v>
      </c>
    </row>
    <row r="3420" spans="1:48" x14ac:dyDescent="0.4">
      <c r="A3420">
        <v>2313012849</v>
      </c>
      <c r="B3420">
        <v>2313013581</v>
      </c>
      <c r="C3420" t="str">
        <f>T("디버프 마스터 733화")</f>
        <v>디버프 마스터 733화</v>
      </c>
      <c r="D3420" t="str">
        <f>T("733")</f>
        <v>733</v>
      </c>
      <c r="E3420" t="str">
        <f t="shared" si="483"/>
        <v>담화공</v>
      </c>
      <c r="H3420" t="str">
        <f t="shared" si="482"/>
        <v>스토리위즈</v>
      </c>
      <c r="I3420" t="str">
        <f t="shared" si="484"/>
        <v>디버프 마스터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T3420" t="str">
        <f t="shared" si="485"/>
        <v>9791137602663</v>
      </c>
      <c r="AV3420" t="str">
        <f t="shared" si="486"/>
        <v>판타지 웹소설 &gt; 퓨전 판타지</v>
      </c>
    </row>
    <row r="3421" spans="1:48" x14ac:dyDescent="0.4">
      <c r="A3421">
        <v>2313012849</v>
      </c>
      <c r="B3421">
        <v>2313013582</v>
      </c>
      <c r="C3421" t="str">
        <f>T("디버프 마스터 734화")</f>
        <v>디버프 마스터 734화</v>
      </c>
      <c r="D3421" t="str">
        <f>T("734")</f>
        <v>734</v>
      </c>
      <c r="E3421" t="str">
        <f t="shared" si="483"/>
        <v>담화공</v>
      </c>
      <c r="H3421" t="str">
        <f t="shared" si="482"/>
        <v>스토리위즈</v>
      </c>
      <c r="I3421" t="str">
        <f t="shared" si="484"/>
        <v>디버프 마스터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T3421" t="str">
        <f t="shared" si="485"/>
        <v>9791137602663</v>
      </c>
      <c r="AV3421" t="str">
        <f t="shared" si="486"/>
        <v>판타지 웹소설 &gt; 퓨전 판타지</v>
      </c>
    </row>
    <row r="3422" spans="1:48" x14ac:dyDescent="0.4">
      <c r="A3422">
        <v>2313012849</v>
      </c>
      <c r="B3422">
        <v>2313013583</v>
      </c>
      <c r="C3422" t="str">
        <f>T("디버프 마스터 735화")</f>
        <v>디버프 마스터 735화</v>
      </c>
      <c r="D3422" t="str">
        <f>T("735")</f>
        <v>735</v>
      </c>
      <c r="E3422" t="str">
        <f t="shared" si="483"/>
        <v>담화공</v>
      </c>
      <c r="H3422" t="str">
        <f t="shared" si="482"/>
        <v>스토리위즈</v>
      </c>
      <c r="I3422" t="str">
        <f t="shared" si="484"/>
        <v>디버프 마스터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T3422" t="str">
        <f t="shared" si="485"/>
        <v>9791137602663</v>
      </c>
      <c r="AV3422" t="str">
        <f t="shared" si="486"/>
        <v>판타지 웹소설 &gt; 퓨전 판타지</v>
      </c>
    </row>
    <row r="3423" spans="1:48" x14ac:dyDescent="0.4">
      <c r="A3423">
        <v>2313012849</v>
      </c>
      <c r="B3423">
        <v>2313013584</v>
      </c>
      <c r="C3423" t="str">
        <f>T("디버프 마스터 736화")</f>
        <v>디버프 마스터 736화</v>
      </c>
      <c r="D3423" t="str">
        <f>T("736")</f>
        <v>736</v>
      </c>
      <c r="E3423" t="str">
        <f t="shared" si="483"/>
        <v>담화공</v>
      </c>
      <c r="H3423" t="str">
        <f t="shared" si="482"/>
        <v>스토리위즈</v>
      </c>
      <c r="I3423" t="str">
        <f t="shared" si="484"/>
        <v>디버프 마스터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T3423" t="str">
        <f t="shared" si="485"/>
        <v>9791137602663</v>
      </c>
      <c r="AV3423" t="str">
        <f t="shared" si="486"/>
        <v>판타지 웹소설 &gt; 퓨전 판타지</v>
      </c>
    </row>
    <row r="3424" spans="1:48" x14ac:dyDescent="0.4">
      <c r="A3424">
        <v>2313012849</v>
      </c>
      <c r="B3424">
        <v>2313013585</v>
      </c>
      <c r="C3424" t="str">
        <f>T("디버프 마스터 737화")</f>
        <v>디버프 마스터 737화</v>
      </c>
      <c r="D3424" t="str">
        <f>T("737")</f>
        <v>737</v>
      </c>
      <c r="E3424" t="str">
        <f t="shared" si="483"/>
        <v>담화공</v>
      </c>
      <c r="H3424" t="str">
        <f t="shared" si="482"/>
        <v>스토리위즈</v>
      </c>
      <c r="I3424" t="str">
        <f t="shared" si="484"/>
        <v>디버프 마스터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T3424" t="str">
        <f t="shared" si="485"/>
        <v>9791137602663</v>
      </c>
      <c r="AV3424" t="str">
        <f t="shared" si="486"/>
        <v>판타지 웹소설 &gt; 퓨전 판타지</v>
      </c>
    </row>
    <row r="3425" spans="1:48" x14ac:dyDescent="0.4">
      <c r="A3425">
        <v>2313012849</v>
      </c>
      <c r="B3425">
        <v>2313013586</v>
      </c>
      <c r="C3425" t="str">
        <f>T("디버프 마스터 738화")</f>
        <v>디버프 마스터 738화</v>
      </c>
      <c r="D3425" t="str">
        <f>T("738")</f>
        <v>738</v>
      </c>
      <c r="E3425" t="str">
        <f t="shared" si="483"/>
        <v>담화공</v>
      </c>
      <c r="H3425" t="str">
        <f t="shared" si="482"/>
        <v>스토리위즈</v>
      </c>
      <c r="I3425" t="str">
        <f t="shared" si="484"/>
        <v>디버프 마스터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T3425" t="str">
        <f t="shared" si="485"/>
        <v>9791137602663</v>
      </c>
      <c r="AV3425" t="str">
        <f t="shared" si="486"/>
        <v>판타지 웹소설 &gt; 퓨전 판타지</v>
      </c>
    </row>
    <row r="3426" spans="1:48" x14ac:dyDescent="0.4">
      <c r="A3426">
        <v>2313012849</v>
      </c>
      <c r="B3426">
        <v>2313013587</v>
      </c>
      <c r="C3426" t="str">
        <f>T("디버프 마스터 739화")</f>
        <v>디버프 마스터 739화</v>
      </c>
      <c r="D3426" t="str">
        <f>T("739")</f>
        <v>739</v>
      </c>
      <c r="E3426" t="str">
        <f t="shared" si="483"/>
        <v>담화공</v>
      </c>
      <c r="H3426" t="str">
        <f t="shared" si="482"/>
        <v>스토리위즈</v>
      </c>
      <c r="I3426" t="str">
        <f t="shared" si="484"/>
        <v>디버프 마스터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T3426" t="str">
        <f t="shared" si="485"/>
        <v>9791137602663</v>
      </c>
      <c r="AV3426" t="str">
        <f t="shared" si="486"/>
        <v>판타지 웹소설 &gt; 퓨전 판타지</v>
      </c>
    </row>
    <row r="3427" spans="1:48" x14ac:dyDescent="0.4">
      <c r="A3427">
        <v>2313012849</v>
      </c>
      <c r="B3427">
        <v>2313013588</v>
      </c>
      <c r="C3427" t="str">
        <f>T("디버프 마스터 740화")</f>
        <v>디버프 마스터 740화</v>
      </c>
      <c r="D3427" t="str">
        <f>T("740")</f>
        <v>740</v>
      </c>
      <c r="E3427" t="str">
        <f t="shared" si="483"/>
        <v>담화공</v>
      </c>
      <c r="H3427" t="str">
        <f t="shared" si="482"/>
        <v>스토리위즈</v>
      </c>
      <c r="I3427" t="str">
        <f t="shared" si="484"/>
        <v>디버프 마스터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T3427" t="str">
        <f t="shared" si="485"/>
        <v>9791137602663</v>
      </c>
      <c r="AV3427" t="str">
        <f t="shared" si="486"/>
        <v>판타지 웹소설 &gt; 퓨전 판타지</v>
      </c>
    </row>
    <row r="3428" spans="1:48" x14ac:dyDescent="0.4">
      <c r="A3428">
        <v>2313012849</v>
      </c>
      <c r="B3428">
        <v>2313013589</v>
      </c>
      <c r="C3428" t="str">
        <f>T("디버프 마스터 741화")</f>
        <v>디버프 마스터 741화</v>
      </c>
      <c r="D3428" t="str">
        <f>T("741")</f>
        <v>741</v>
      </c>
      <c r="E3428" t="str">
        <f t="shared" si="483"/>
        <v>담화공</v>
      </c>
      <c r="H3428" t="str">
        <f t="shared" si="482"/>
        <v>스토리위즈</v>
      </c>
      <c r="I3428" t="str">
        <f t="shared" si="484"/>
        <v>디버프 마스터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T3428" t="str">
        <f t="shared" si="485"/>
        <v>9791137602663</v>
      </c>
      <c r="AV3428" t="str">
        <f t="shared" si="486"/>
        <v>판타지 웹소설 &gt; 퓨전 판타지</v>
      </c>
    </row>
    <row r="3429" spans="1:48" x14ac:dyDescent="0.4">
      <c r="A3429">
        <v>2313012849</v>
      </c>
      <c r="B3429">
        <v>2313013590</v>
      </c>
      <c r="C3429" t="str">
        <f>T("디버프 마스터 742화")</f>
        <v>디버프 마스터 742화</v>
      </c>
      <c r="D3429" t="str">
        <f>T("742")</f>
        <v>742</v>
      </c>
      <c r="E3429" t="str">
        <f t="shared" si="483"/>
        <v>담화공</v>
      </c>
      <c r="H3429" t="str">
        <f t="shared" si="482"/>
        <v>스토리위즈</v>
      </c>
      <c r="I3429" t="str">
        <f t="shared" si="484"/>
        <v>디버프 마스터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T3429" t="str">
        <f t="shared" si="485"/>
        <v>9791137602663</v>
      </c>
      <c r="AV3429" t="str">
        <f t="shared" si="486"/>
        <v>판타지 웹소설 &gt; 퓨전 판타지</v>
      </c>
    </row>
    <row r="3430" spans="1:48" x14ac:dyDescent="0.4">
      <c r="A3430">
        <v>2313012849</v>
      </c>
      <c r="B3430">
        <v>2313013591</v>
      </c>
      <c r="C3430" t="str">
        <f>T("디버프 마스터 743화")</f>
        <v>디버프 마스터 743화</v>
      </c>
      <c r="D3430" t="str">
        <f>T("743")</f>
        <v>743</v>
      </c>
      <c r="E3430" t="str">
        <f t="shared" si="483"/>
        <v>담화공</v>
      </c>
      <c r="H3430" t="str">
        <f t="shared" si="482"/>
        <v>스토리위즈</v>
      </c>
      <c r="I3430" t="str">
        <f t="shared" si="484"/>
        <v>디버프 마스터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T3430" t="str">
        <f t="shared" si="485"/>
        <v>9791137602663</v>
      </c>
      <c r="AV3430" t="str">
        <f t="shared" si="486"/>
        <v>판타지 웹소설 &gt; 퓨전 판타지</v>
      </c>
    </row>
    <row r="3431" spans="1:48" x14ac:dyDescent="0.4">
      <c r="A3431">
        <v>2313012849</v>
      </c>
      <c r="B3431">
        <v>2313013592</v>
      </c>
      <c r="C3431" t="str">
        <f>T("디버프 마스터 744화")</f>
        <v>디버프 마스터 744화</v>
      </c>
      <c r="D3431" t="str">
        <f>T("744")</f>
        <v>744</v>
      </c>
      <c r="E3431" t="str">
        <f t="shared" si="483"/>
        <v>담화공</v>
      </c>
      <c r="H3431" t="str">
        <f t="shared" si="482"/>
        <v>스토리위즈</v>
      </c>
      <c r="I3431" t="str">
        <f t="shared" si="484"/>
        <v>디버프 마스터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T3431" t="str">
        <f t="shared" si="485"/>
        <v>9791137602663</v>
      </c>
      <c r="AV3431" t="str">
        <f t="shared" si="486"/>
        <v>판타지 웹소설 &gt; 퓨전 판타지</v>
      </c>
    </row>
    <row r="3432" spans="1:48" x14ac:dyDescent="0.4">
      <c r="A3432">
        <v>2313012849</v>
      </c>
      <c r="B3432">
        <v>2313013593</v>
      </c>
      <c r="C3432" t="str">
        <f>T("디버프 마스터 745화")</f>
        <v>디버프 마스터 745화</v>
      </c>
      <c r="D3432" t="str">
        <f>T("745")</f>
        <v>745</v>
      </c>
      <c r="E3432" t="str">
        <f t="shared" si="483"/>
        <v>담화공</v>
      </c>
      <c r="H3432" t="str">
        <f t="shared" si="482"/>
        <v>스토리위즈</v>
      </c>
      <c r="I3432" t="str">
        <f t="shared" si="484"/>
        <v>디버프 마스터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T3432" t="str">
        <f t="shared" si="485"/>
        <v>9791137602663</v>
      </c>
      <c r="AV3432" t="str">
        <f t="shared" si="486"/>
        <v>판타지 웹소설 &gt; 퓨전 판타지</v>
      </c>
    </row>
    <row r="3433" spans="1:48" x14ac:dyDescent="0.4">
      <c r="A3433">
        <v>2313012849</v>
      </c>
      <c r="B3433">
        <v>2313013594</v>
      </c>
      <c r="C3433" t="str">
        <f>T("디버프 마스터 746화")</f>
        <v>디버프 마스터 746화</v>
      </c>
      <c r="D3433" t="str">
        <f>T("746")</f>
        <v>746</v>
      </c>
      <c r="E3433" t="str">
        <f t="shared" si="483"/>
        <v>담화공</v>
      </c>
      <c r="H3433" t="str">
        <f t="shared" si="482"/>
        <v>스토리위즈</v>
      </c>
      <c r="I3433" t="str">
        <f t="shared" si="484"/>
        <v>디버프 마스터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T3433" t="str">
        <f t="shared" si="485"/>
        <v>9791137602663</v>
      </c>
      <c r="AV3433" t="str">
        <f t="shared" si="486"/>
        <v>판타지 웹소설 &gt; 퓨전 판타지</v>
      </c>
    </row>
    <row r="3434" spans="1:48" x14ac:dyDescent="0.4">
      <c r="A3434">
        <v>2313012849</v>
      </c>
      <c r="B3434">
        <v>2313013595</v>
      </c>
      <c r="C3434" t="str">
        <f>T("디버프 마스터 747화")</f>
        <v>디버프 마스터 747화</v>
      </c>
      <c r="D3434" t="str">
        <f>T("747")</f>
        <v>747</v>
      </c>
      <c r="E3434" t="str">
        <f t="shared" si="483"/>
        <v>담화공</v>
      </c>
      <c r="H3434" t="str">
        <f t="shared" si="482"/>
        <v>스토리위즈</v>
      </c>
      <c r="I3434" t="str">
        <f t="shared" si="484"/>
        <v>디버프 마스터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T3434" t="str">
        <f t="shared" si="485"/>
        <v>9791137602663</v>
      </c>
      <c r="AV3434" t="str">
        <f t="shared" si="486"/>
        <v>판타지 웹소설 &gt; 퓨전 판타지</v>
      </c>
    </row>
    <row r="3435" spans="1:48" x14ac:dyDescent="0.4">
      <c r="A3435">
        <v>2313012849</v>
      </c>
      <c r="B3435">
        <v>2313013596</v>
      </c>
      <c r="C3435" t="str">
        <f>T("디버프 마스터 748화")</f>
        <v>디버프 마스터 748화</v>
      </c>
      <c r="D3435" t="str">
        <f>T("748")</f>
        <v>748</v>
      </c>
      <c r="E3435" t="str">
        <f t="shared" si="483"/>
        <v>담화공</v>
      </c>
      <c r="H3435" t="str">
        <f t="shared" si="482"/>
        <v>스토리위즈</v>
      </c>
      <c r="I3435" t="str">
        <f t="shared" si="484"/>
        <v>디버프 마스터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T3435" t="str">
        <f t="shared" si="485"/>
        <v>9791137602663</v>
      </c>
      <c r="AV3435" t="str">
        <f t="shared" si="486"/>
        <v>판타지 웹소설 &gt; 퓨전 판타지</v>
      </c>
    </row>
    <row r="3436" spans="1:48" x14ac:dyDescent="0.4">
      <c r="A3436">
        <v>2313012849</v>
      </c>
      <c r="B3436">
        <v>2313013597</v>
      </c>
      <c r="C3436" t="str">
        <f>T("디버프 마스터 749화")</f>
        <v>디버프 마스터 749화</v>
      </c>
      <c r="D3436" t="str">
        <f>T("749")</f>
        <v>749</v>
      </c>
      <c r="E3436" t="str">
        <f t="shared" si="483"/>
        <v>담화공</v>
      </c>
      <c r="H3436" t="str">
        <f t="shared" si="482"/>
        <v>스토리위즈</v>
      </c>
      <c r="I3436" t="str">
        <f t="shared" si="484"/>
        <v>디버프 마스터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T3436" t="str">
        <f t="shared" si="485"/>
        <v>9791137602663</v>
      </c>
      <c r="AV3436" t="str">
        <f t="shared" si="486"/>
        <v>판타지 웹소설 &gt; 퓨전 판타지</v>
      </c>
    </row>
    <row r="3437" spans="1:48" x14ac:dyDescent="0.4">
      <c r="A3437">
        <v>2313012849</v>
      </c>
      <c r="B3437">
        <v>2313013598</v>
      </c>
      <c r="C3437" t="str">
        <f>T("디버프 마스터 750화")</f>
        <v>디버프 마스터 750화</v>
      </c>
      <c r="D3437" t="str">
        <f>T("750")</f>
        <v>750</v>
      </c>
      <c r="E3437" t="str">
        <f t="shared" si="483"/>
        <v>담화공</v>
      </c>
      <c r="H3437" t="str">
        <f t="shared" si="482"/>
        <v>스토리위즈</v>
      </c>
      <c r="I3437" t="str">
        <f t="shared" si="484"/>
        <v>디버프 마스터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T3437" t="str">
        <f t="shared" si="485"/>
        <v>9791137602663</v>
      </c>
      <c r="AV3437" t="str">
        <f t="shared" si="486"/>
        <v>판타지 웹소설 &gt; 퓨전 판타지</v>
      </c>
    </row>
    <row r="3438" spans="1:48" x14ac:dyDescent="0.4">
      <c r="A3438">
        <v>2313012849</v>
      </c>
      <c r="B3438">
        <v>2313013599</v>
      </c>
      <c r="C3438" t="str">
        <f>T("디버프 마스터 751화")</f>
        <v>디버프 마스터 751화</v>
      </c>
      <c r="D3438" t="str">
        <f>T("751")</f>
        <v>751</v>
      </c>
      <c r="E3438" t="str">
        <f t="shared" si="483"/>
        <v>담화공</v>
      </c>
      <c r="H3438" t="str">
        <f t="shared" si="482"/>
        <v>스토리위즈</v>
      </c>
      <c r="I3438" t="str">
        <f t="shared" si="484"/>
        <v>디버프 마스터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T3438" t="str">
        <f t="shared" si="485"/>
        <v>9791137602663</v>
      </c>
      <c r="AV3438" t="str">
        <f t="shared" si="486"/>
        <v>판타지 웹소설 &gt; 퓨전 판타지</v>
      </c>
    </row>
    <row r="3439" spans="1:48" x14ac:dyDescent="0.4">
      <c r="A3439">
        <v>2313012849</v>
      </c>
      <c r="B3439">
        <v>2313013600</v>
      </c>
      <c r="C3439" t="str">
        <f>T("디버프 마스터 752화")</f>
        <v>디버프 마스터 752화</v>
      </c>
      <c r="D3439" t="str">
        <f>T("752")</f>
        <v>752</v>
      </c>
      <c r="E3439" t="str">
        <f t="shared" si="483"/>
        <v>담화공</v>
      </c>
      <c r="H3439" t="str">
        <f t="shared" si="482"/>
        <v>스토리위즈</v>
      </c>
      <c r="I3439" t="str">
        <f t="shared" si="484"/>
        <v>디버프 마스터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T3439" t="str">
        <f t="shared" si="485"/>
        <v>9791137602663</v>
      </c>
      <c r="AV3439" t="str">
        <f t="shared" si="486"/>
        <v>판타지 웹소설 &gt; 퓨전 판타지</v>
      </c>
    </row>
    <row r="3440" spans="1:48" x14ac:dyDescent="0.4">
      <c r="A3440">
        <v>2313012849</v>
      </c>
      <c r="B3440">
        <v>2313013601</v>
      </c>
      <c r="C3440" t="str">
        <f>T("디버프 마스터 753화")</f>
        <v>디버프 마스터 753화</v>
      </c>
      <c r="D3440" t="str">
        <f>T("753")</f>
        <v>753</v>
      </c>
      <c r="E3440" t="str">
        <f t="shared" si="483"/>
        <v>담화공</v>
      </c>
      <c r="H3440" t="str">
        <f t="shared" si="482"/>
        <v>스토리위즈</v>
      </c>
      <c r="I3440" t="str">
        <f t="shared" si="484"/>
        <v>디버프 마스터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T3440" t="str">
        <f t="shared" si="485"/>
        <v>9791137602663</v>
      </c>
      <c r="AV3440" t="str">
        <f t="shared" si="486"/>
        <v>판타지 웹소설 &gt; 퓨전 판타지</v>
      </c>
    </row>
    <row r="3441" spans="1:48" x14ac:dyDescent="0.4">
      <c r="A3441">
        <v>2313012849</v>
      </c>
      <c r="B3441">
        <v>2313013602</v>
      </c>
      <c r="C3441" t="str">
        <f>T("디버프 마스터 754화")</f>
        <v>디버프 마스터 754화</v>
      </c>
      <c r="D3441" t="str">
        <f>T("754")</f>
        <v>754</v>
      </c>
      <c r="E3441" t="str">
        <f t="shared" si="483"/>
        <v>담화공</v>
      </c>
      <c r="H3441" t="str">
        <f t="shared" si="482"/>
        <v>스토리위즈</v>
      </c>
      <c r="I3441" t="str">
        <f t="shared" si="484"/>
        <v>디버프 마스터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T3441" t="str">
        <f t="shared" si="485"/>
        <v>9791137602663</v>
      </c>
      <c r="AV3441" t="str">
        <f t="shared" si="486"/>
        <v>판타지 웹소설 &gt; 퓨전 판타지</v>
      </c>
    </row>
    <row r="3442" spans="1:48" x14ac:dyDescent="0.4">
      <c r="A3442">
        <v>2313012849</v>
      </c>
      <c r="B3442">
        <v>2313013603</v>
      </c>
      <c r="C3442" t="str">
        <f>T("디버프 마스터 755화")</f>
        <v>디버프 마스터 755화</v>
      </c>
      <c r="D3442" t="str">
        <f>T("755")</f>
        <v>755</v>
      </c>
      <c r="E3442" t="str">
        <f t="shared" si="483"/>
        <v>담화공</v>
      </c>
      <c r="H3442" t="str">
        <f t="shared" si="482"/>
        <v>스토리위즈</v>
      </c>
      <c r="I3442" t="str">
        <f t="shared" si="484"/>
        <v>디버프 마스터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T3442" t="str">
        <f t="shared" si="485"/>
        <v>9791137602663</v>
      </c>
      <c r="AV3442" t="str">
        <f t="shared" si="486"/>
        <v>판타지 웹소설 &gt; 퓨전 판타지</v>
      </c>
    </row>
    <row r="3443" spans="1:48" x14ac:dyDescent="0.4">
      <c r="A3443">
        <v>2313012849</v>
      </c>
      <c r="B3443">
        <v>2313013604</v>
      </c>
      <c r="C3443" t="str">
        <f>T("디버프 마스터 756화")</f>
        <v>디버프 마스터 756화</v>
      </c>
      <c r="D3443" t="str">
        <f>T("756")</f>
        <v>756</v>
      </c>
      <c r="E3443" t="str">
        <f t="shared" si="483"/>
        <v>담화공</v>
      </c>
      <c r="H3443" t="str">
        <f t="shared" si="482"/>
        <v>스토리위즈</v>
      </c>
      <c r="I3443" t="str">
        <f t="shared" si="484"/>
        <v>디버프 마스터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T3443" t="str">
        <f t="shared" si="485"/>
        <v>9791137602663</v>
      </c>
      <c r="AV3443" t="str">
        <f t="shared" si="486"/>
        <v>판타지 웹소설 &gt; 퓨전 판타지</v>
      </c>
    </row>
    <row r="3444" spans="1:48" x14ac:dyDescent="0.4">
      <c r="A3444">
        <v>2313012849</v>
      </c>
      <c r="B3444">
        <v>2313013605</v>
      </c>
      <c r="C3444" t="str">
        <f>T("디버프 마스터 757화")</f>
        <v>디버프 마스터 757화</v>
      </c>
      <c r="D3444" t="str">
        <f>T("757")</f>
        <v>757</v>
      </c>
      <c r="E3444" t="str">
        <f t="shared" si="483"/>
        <v>담화공</v>
      </c>
      <c r="H3444" t="str">
        <f t="shared" si="482"/>
        <v>스토리위즈</v>
      </c>
      <c r="I3444" t="str">
        <f t="shared" si="484"/>
        <v>디버프 마스터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T3444" t="str">
        <f t="shared" si="485"/>
        <v>9791137602663</v>
      </c>
      <c r="AV3444" t="str">
        <f t="shared" si="486"/>
        <v>판타지 웹소설 &gt; 퓨전 판타지</v>
      </c>
    </row>
    <row r="3445" spans="1:48" x14ac:dyDescent="0.4">
      <c r="A3445">
        <v>2313012849</v>
      </c>
      <c r="B3445">
        <v>2313013606</v>
      </c>
      <c r="C3445" t="str">
        <f>T("디버프 마스터 758화")</f>
        <v>디버프 마스터 758화</v>
      </c>
      <c r="D3445" t="str">
        <f>T("758")</f>
        <v>758</v>
      </c>
      <c r="E3445" t="str">
        <f t="shared" si="483"/>
        <v>담화공</v>
      </c>
      <c r="H3445" t="str">
        <f t="shared" si="482"/>
        <v>스토리위즈</v>
      </c>
      <c r="I3445" t="str">
        <f t="shared" si="484"/>
        <v>디버프 마스터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T3445" t="str">
        <f t="shared" si="485"/>
        <v>9791137602663</v>
      </c>
      <c r="AV3445" t="str">
        <f t="shared" si="486"/>
        <v>판타지 웹소설 &gt; 퓨전 판타지</v>
      </c>
    </row>
    <row r="3446" spans="1:48" x14ac:dyDescent="0.4">
      <c r="A3446">
        <v>2313012849</v>
      </c>
      <c r="B3446">
        <v>2313013607</v>
      </c>
      <c r="C3446" t="str">
        <f>T("디버프 마스터 759화")</f>
        <v>디버프 마스터 759화</v>
      </c>
      <c r="D3446" t="str">
        <f>T("759")</f>
        <v>759</v>
      </c>
      <c r="E3446" t="str">
        <f t="shared" si="483"/>
        <v>담화공</v>
      </c>
      <c r="H3446" t="str">
        <f t="shared" si="482"/>
        <v>스토리위즈</v>
      </c>
      <c r="I3446" t="str">
        <f t="shared" si="484"/>
        <v>디버프 마스터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T3446" t="str">
        <f t="shared" si="485"/>
        <v>9791137602663</v>
      </c>
      <c r="AV3446" t="str">
        <f t="shared" si="486"/>
        <v>판타지 웹소설 &gt; 퓨전 판타지</v>
      </c>
    </row>
    <row r="3447" spans="1:48" x14ac:dyDescent="0.4">
      <c r="A3447">
        <v>2313012849</v>
      </c>
      <c r="B3447">
        <v>2313013608</v>
      </c>
      <c r="C3447" t="str">
        <f>T("디버프 마스터 760화")</f>
        <v>디버프 마스터 760화</v>
      </c>
      <c r="D3447" t="str">
        <f>T("760")</f>
        <v>760</v>
      </c>
      <c r="E3447" t="str">
        <f t="shared" si="483"/>
        <v>담화공</v>
      </c>
      <c r="H3447" t="str">
        <f t="shared" si="482"/>
        <v>스토리위즈</v>
      </c>
      <c r="I3447" t="str">
        <f t="shared" si="484"/>
        <v>디버프 마스터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T3447" t="str">
        <f t="shared" si="485"/>
        <v>9791137602663</v>
      </c>
      <c r="AV3447" t="str">
        <f t="shared" si="486"/>
        <v>판타지 웹소설 &gt; 퓨전 판타지</v>
      </c>
    </row>
    <row r="3448" spans="1:48" x14ac:dyDescent="0.4">
      <c r="A3448">
        <v>2313012849</v>
      </c>
      <c r="B3448">
        <v>2313013609</v>
      </c>
      <c r="C3448" t="str">
        <f>T("디버프 마스터 761화")</f>
        <v>디버프 마스터 761화</v>
      </c>
      <c r="D3448" t="str">
        <f>T("761")</f>
        <v>761</v>
      </c>
      <c r="E3448" t="str">
        <f t="shared" si="483"/>
        <v>담화공</v>
      </c>
      <c r="H3448" t="str">
        <f t="shared" si="482"/>
        <v>스토리위즈</v>
      </c>
      <c r="I3448" t="str">
        <f t="shared" si="484"/>
        <v>디버프 마스터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T3448" t="str">
        <f t="shared" si="485"/>
        <v>9791137602663</v>
      </c>
      <c r="AV3448" t="str">
        <f t="shared" si="486"/>
        <v>판타지 웹소설 &gt; 퓨전 판타지</v>
      </c>
    </row>
    <row r="3449" spans="1:48" x14ac:dyDescent="0.4">
      <c r="A3449">
        <v>2313012849</v>
      </c>
      <c r="B3449">
        <v>2313013610</v>
      </c>
      <c r="C3449" t="str">
        <f>T("디버프 마스터 762화")</f>
        <v>디버프 마스터 762화</v>
      </c>
      <c r="D3449" t="str">
        <f>T("762")</f>
        <v>762</v>
      </c>
      <c r="E3449" t="str">
        <f t="shared" si="483"/>
        <v>담화공</v>
      </c>
      <c r="H3449" t="str">
        <f t="shared" ref="H3449:H3512" si="487">T("스토리위즈")</f>
        <v>스토리위즈</v>
      </c>
      <c r="I3449" t="str">
        <f t="shared" si="484"/>
        <v>디버프 마스터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T3449" t="str">
        <f t="shared" si="485"/>
        <v>9791137602663</v>
      </c>
      <c r="AV3449" t="str">
        <f t="shared" si="486"/>
        <v>판타지 웹소설 &gt; 퓨전 판타지</v>
      </c>
    </row>
    <row r="3450" spans="1:48" x14ac:dyDescent="0.4">
      <c r="A3450">
        <v>2313012849</v>
      </c>
      <c r="B3450">
        <v>2313013611</v>
      </c>
      <c r="C3450" t="str">
        <f>T("디버프 마스터 763화")</f>
        <v>디버프 마스터 763화</v>
      </c>
      <c r="D3450" t="str">
        <f>T("763")</f>
        <v>763</v>
      </c>
      <c r="E3450" t="str">
        <f t="shared" si="483"/>
        <v>담화공</v>
      </c>
      <c r="H3450" t="str">
        <f t="shared" si="487"/>
        <v>스토리위즈</v>
      </c>
      <c r="I3450" t="str">
        <f t="shared" si="484"/>
        <v>디버프 마스터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T3450" t="str">
        <f t="shared" si="485"/>
        <v>9791137602663</v>
      </c>
      <c r="AV3450" t="str">
        <f t="shared" si="486"/>
        <v>판타지 웹소설 &gt; 퓨전 판타지</v>
      </c>
    </row>
    <row r="3451" spans="1:48" x14ac:dyDescent="0.4">
      <c r="A3451">
        <v>2313012849</v>
      </c>
      <c r="B3451">
        <v>2313013612</v>
      </c>
      <c r="C3451" t="str">
        <f>T("디버프 마스터 764화")</f>
        <v>디버프 마스터 764화</v>
      </c>
      <c r="D3451" t="str">
        <f>T("764")</f>
        <v>764</v>
      </c>
      <c r="E3451" t="str">
        <f t="shared" si="483"/>
        <v>담화공</v>
      </c>
      <c r="H3451" t="str">
        <f t="shared" si="487"/>
        <v>스토리위즈</v>
      </c>
      <c r="I3451" t="str">
        <f t="shared" si="484"/>
        <v>디버프 마스터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T3451" t="str">
        <f t="shared" si="485"/>
        <v>9791137602663</v>
      </c>
      <c r="AV3451" t="str">
        <f t="shared" si="486"/>
        <v>판타지 웹소설 &gt; 퓨전 판타지</v>
      </c>
    </row>
    <row r="3452" spans="1:48" x14ac:dyDescent="0.4">
      <c r="A3452">
        <v>2313012849</v>
      </c>
      <c r="B3452">
        <v>2313013613</v>
      </c>
      <c r="C3452" t="str">
        <f>T("디버프 마스터 765화")</f>
        <v>디버프 마스터 765화</v>
      </c>
      <c r="D3452" t="str">
        <f>T("765")</f>
        <v>765</v>
      </c>
      <c r="E3452" t="str">
        <f t="shared" si="483"/>
        <v>담화공</v>
      </c>
      <c r="H3452" t="str">
        <f t="shared" si="487"/>
        <v>스토리위즈</v>
      </c>
      <c r="I3452" t="str">
        <f t="shared" si="484"/>
        <v>디버프 마스터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T3452" t="str">
        <f t="shared" si="485"/>
        <v>9791137602663</v>
      </c>
      <c r="AV3452" t="str">
        <f t="shared" si="486"/>
        <v>판타지 웹소설 &gt; 퓨전 판타지</v>
      </c>
    </row>
    <row r="3453" spans="1:48" x14ac:dyDescent="0.4">
      <c r="A3453">
        <v>2313012849</v>
      </c>
      <c r="B3453">
        <v>2313013614</v>
      </c>
      <c r="C3453" t="str">
        <f>T("디버프 마스터 766화")</f>
        <v>디버프 마스터 766화</v>
      </c>
      <c r="D3453" t="str">
        <f>T("766")</f>
        <v>766</v>
      </c>
      <c r="E3453" t="str">
        <f t="shared" si="483"/>
        <v>담화공</v>
      </c>
      <c r="H3453" t="str">
        <f t="shared" si="487"/>
        <v>스토리위즈</v>
      </c>
      <c r="I3453" t="str">
        <f t="shared" si="484"/>
        <v>디버프 마스터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T3453" t="str">
        <f t="shared" si="485"/>
        <v>9791137602663</v>
      </c>
      <c r="AV3453" t="str">
        <f t="shared" si="486"/>
        <v>판타지 웹소설 &gt; 퓨전 판타지</v>
      </c>
    </row>
    <row r="3454" spans="1:48" x14ac:dyDescent="0.4">
      <c r="A3454">
        <v>2313012849</v>
      </c>
      <c r="B3454">
        <v>2313013615</v>
      </c>
      <c r="C3454" t="str">
        <f>T("디버프 마스터 767화")</f>
        <v>디버프 마스터 767화</v>
      </c>
      <c r="D3454" t="str">
        <f>T("767")</f>
        <v>767</v>
      </c>
      <c r="E3454" t="str">
        <f t="shared" si="483"/>
        <v>담화공</v>
      </c>
      <c r="H3454" t="str">
        <f t="shared" si="487"/>
        <v>스토리위즈</v>
      </c>
      <c r="I3454" t="str">
        <f t="shared" si="484"/>
        <v>디버프 마스터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T3454" t="str">
        <f t="shared" si="485"/>
        <v>9791137602663</v>
      </c>
      <c r="AV3454" t="str">
        <f t="shared" si="486"/>
        <v>판타지 웹소설 &gt; 퓨전 판타지</v>
      </c>
    </row>
    <row r="3455" spans="1:48" x14ac:dyDescent="0.4">
      <c r="A3455">
        <v>2313012849</v>
      </c>
      <c r="B3455">
        <v>2313013616</v>
      </c>
      <c r="C3455" t="str">
        <f>T("디버프 마스터 768화")</f>
        <v>디버프 마스터 768화</v>
      </c>
      <c r="D3455" t="str">
        <f>T("768")</f>
        <v>768</v>
      </c>
      <c r="E3455" t="str">
        <f t="shared" si="483"/>
        <v>담화공</v>
      </c>
      <c r="H3455" t="str">
        <f t="shared" si="487"/>
        <v>스토리위즈</v>
      </c>
      <c r="I3455" t="str">
        <f t="shared" si="484"/>
        <v>디버프 마스터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T3455" t="str">
        <f t="shared" si="485"/>
        <v>9791137602663</v>
      </c>
      <c r="AV3455" t="str">
        <f t="shared" si="486"/>
        <v>판타지 웹소설 &gt; 퓨전 판타지</v>
      </c>
    </row>
    <row r="3456" spans="1:48" x14ac:dyDescent="0.4">
      <c r="A3456">
        <v>2313012849</v>
      </c>
      <c r="B3456">
        <v>2313013617</v>
      </c>
      <c r="C3456" t="str">
        <f>T("디버프 마스터 769화")</f>
        <v>디버프 마스터 769화</v>
      </c>
      <c r="D3456" t="str">
        <f>T("769")</f>
        <v>769</v>
      </c>
      <c r="E3456" t="str">
        <f t="shared" si="483"/>
        <v>담화공</v>
      </c>
      <c r="H3456" t="str">
        <f t="shared" si="487"/>
        <v>스토리위즈</v>
      </c>
      <c r="I3456" t="str">
        <f t="shared" si="484"/>
        <v>디버프 마스터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T3456" t="str">
        <f t="shared" si="485"/>
        <v>9791137602663</v>
      </c>
      <c r="AV3456" t="str">
        <f t="shared" si="486"/>
        <v>판타지 웹소설 &gt; 퓨전 판타지</v>
      </c>
    </row>
    <row r="3457" spans="1:48" x14ac:dyDescent="0.4">
      <c r="A3457">
        <v>2313012849</v>
      </c>
      <c r="B3457">
        <v>2313013618</v>
      </c>
      <c r="C3457" t="str">
        <f>T("디버프 마스터 770화")</f>
        <v>디버프 마스터 770화</v>
      </c>
      <c r="D3457" t="str">
        <f>T("770")</f>
        <v>770</v>
      </c>
      <c r="E3457" t="str">
        <f t="shared" si="483"/>
        <v>담화공</v>
      </c>
      <c r="H3457" t="str">
        <f t="shared" si="487"/>
        <v>스토리위즈</v>
      </c>
      <c r="I3457" t="str">
        <f t="shared" si="484"/>
        <v>디버프 마스터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T3457" t="str">
        <f t="shared" si="485"/>
        <v>9791137602663</v>
      </c>
      <c r="AV3457" t="str">
        <f t="shared" si="486"/>
        <v>판타지 웹소설 &gt; 퓨전 판타지</v>
      </c>
    </row>
    <row r="3458" spans="1:48" x14ac:dyDescent="0.4">
      <c r="A3458">
        <v>2313012849</v>
      </c>
      <c r="B3458">
        <v>2313013619</v>
      </c>
      <c r="C3458" t="str">
        <f>T("디버프 마스터 771화")</f>
        <v>디버프 마스터 771화</v>
      </c>
      <c r="D3458" t="str">
        <f>T("771")</f>
        <v>771</v>
      </c>
      <c r="E3458" t="str">
        <f t="shared" si="483"/>
        <v>담화공</v>
      </c>
      <c r="H3458" t="str">
        <f t="shared" si="487"/>
        <v>스토리위즈</v>
      </c>
      <c r="I3458" t="str">
        <f t="shared" si="484"/>
        <v>디버프 마스터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T3458" t="str">
        <f t="shared" si="485"/>
        <v>9791137602663</v>
      </c>
      <c r="AV3458" t="str">
        <f t="shared" si="486"/>
        <v>판타지 웹소설 &gt; 퓨전 판타지</v>
      </c>
    </row>
    <row r="3459" spans="1:48" x14ac:dyDescent="0.4">
      <c r="A3459">
        <v>2313012849</v>
      </c>
      <c r="B3459">
        <v>2313013620</v>
      </c>
      <c r="C3459" t="str">
        <f>T("디버프 마스터 772화")</f>
        <v>디버프 마스터 772화</v>
      </c>
      <c r="D3459" t="str">
        <f>T("772")</f>
        <v>772</v>
      </c>
      <c r="E3459" t="str">
        <f t="shared" si="483"/>
        <v>담화공</v>
      </c>
      <c r="H3459" t="str">
        <f t="shared" si="487"/>
        <v>스토리위즈</v>
      </c>
      <c r="I3459" t="str">
        <f t="shared" si="484"/>
        <v>디버프 마스터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70</v>
      </c>
      <c r="AT3459" t="str">
        <f t="shared" si="485"/>
        <v>9791137602663</v>
      </c>
      <c r="AV3459" t="str">
        <f t="shared" si="486"/>
        <v>판타지 웹소설 &gt; 퓨전 판타지</v>
      </c>
    </row>
    <row r="3460" spans="1:48" x14ac:dyDescent="0.4">
      <c r="A3460">
        <v>2313012849</v>
      </c>
      <c r="B3460">
        <v>2313013621</v>
      </c>
      <c r="C3460" t="str">
        <f>T("디버프 마스터 773화")</f>
        <v>디버프 마스터 773화</v>
      </c>
      <c r="D3460" t="str">
        <f>T("773")</f>
        <v>773</v>
      </c>
      <c r="E3460" t="str">
        <f t="shared" si="483"/>
        <v>담화공</v>
      </c>
      <c r="H3460" t="str">
        <f t="shared" si="487"/>
        <v>스토리위즈</v>
      </c>
      <c r="I3460" t="str">
        <f t="shared" si="484"/>
        <v>디버프 마스터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T3460" t="str">
        <f t="shared" si="485"/>
        <v>9791137602663</v>
      </c>
      <c r="AV3460" t="str">
        <f t="shared" si="486"/>
        <v>판타지 웹소설 &gt; 퓨전 판타지</v>
      </c>
    </row>
    <row r="3461" spans="1:48" x14ac:dyDescent="0.4">
      <c r="A3461">
        <v>2313012849</v>
      </c>
      <c r="B3461">
        <v>2313013622</v>
      </c>
      <c r="C3461" t="str">
        <f>T("디버프 마스터 774화")</f>
        <v>디버프 마스터 774화</v>
      </c>
      <c r="D3461" t="str">
        <f>T("774")</f>
        <v>774</v>
      </c>
      <c r="E3461" t="str">
        <f t="shared" si="483"/>
        <v>담화공</v>
      </c>
      <c r="H3461" t="str">
        <f t="shared" si="487"/>
        <v>스토리위즈</v>
      </c>
      <c r="I3461" t="str">
        <f t="shared" si="484"/>
        <v>디버프 마스터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70</v>
      </c>
      <c r="AT3461" t="str">
        <f t="shared" si="485"/>
        <v>9791137602663</v>
      </c>
      <c r="AV3461" t="str">
        <f t="shared" si="486"/>
        <v>판타지 웹소설 &gt; 퓨전 판타지</v>
      </c>
    </row>
    <row r="3462" spans="1:48" x14ac:dyDescent="0.4">
      <c r="A3462">
        <v>2313012849</v>
      </c>
      <c r="B3462">
        <v>2313013623</v>
      </c>
      <c r="C3462" t="str">
        <f>T("디버프 마스터 775화")</f>
        <v>디버프 마스터 775화</v>
      </c>
      <c r="D3462" t="str">
        <f>T("775")</f>
        <v>775</v>
      </c>
      <c r="E3462" t="str">
        <f t="shared" si="483"/>
        <v>담화공</v>
      </c>
      <c r="H3462" t="str">
        <f t="shared" si="487"/>
        <v>스토리위즈</v>
      </c>
      <c r="I3462" t="str">
        <f t="shared" si="484"/>
        <v>디버프 마스터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T3462" t="str">
        <f t="shared" si="485"/>
        <v>9791137602663</v>
      </c>
      <c r="AV3462" t="str">
        <f t="shared" si="486"/>
        <v>판타지 웹소설 &gt; 퓨전 판타지</v>
      </c>
    </row>
    <row r="3463" spans="1:48" x14ac:dyDescent="0.4">
      <c r="A3463">
        <v>2313012849</v>
      </c>
      <c r="B3463">
        <v>2313013624</v>
      </c>
      <c r="C3463" t="str">
        <f>T("디버프 마스터 776화")</f>
        <v>디버프 마스터 776화</v>
      </c>
      <c r="D3463" t="str">
        <f>T("776")</f>
        <v>776</v>
      </c>
      <c r="E3463" t="str">
        <f t="shared" si="483"/>
        <v>담화공</v>
      </c>
      <c r="H3463" t="str">
        <f t="shared" si="487"/>
        <v>스토리위즈</v>
      </c>
      <c r="I3463" t="str">
        <f t="shared" si="484"/>
        <v>디버프 마스터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T3463" t="str">
        <f t="shared" si="485"/>
        <v>9791137602663</v>
      </c>
      <c r="AV3463" t="str">
        <f t="shared" si="486"/>
        <v>판타지 웹소설 &gt; 퓨전 판타지</v>
      </c>
    </row>
    <row r="3464" spans="1:48" x14ac:dyDescent="0.4">
      <c r="A3464">
        <v>2313012849</v>
      </c>
      <c r="B3464">
        <v>2313013625</v>
      </c>
      <c r="C3464" t="str">
        <f>T("디버프 마스터 777화")</f>
        <v>디버프 마스터 777화</v>
      </c>
      <c r="D3464" t="str">
        <f>T("777")</f>
        <v>777</v>
      </c>
      <c r="E3464" t="str">
        <f t="shared" ref="E3464:E3527" si="488">T("담화공")</f>
        <v>담화공</v>
      </c>
      <c r="H3464" t="str">
        <f t="shared" si="487"/>
        <v>스토리위즈</v>
      </c>
      <c r="I3464" t="str">
        <f t="shared" ref="I3464:I3527" si="489">T("디버프 마스터")</f>
        <v>디버프 마스터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T3464" t="str">
        <f t="shared" ref="AT3464:AT3527" si="490">T("9791137602663")</f>
        <v>9791137602663</v>
      </c>
      <c r="AV3464" t="str">
        <f t="shared" ref="AV3464:AV3527" si="491">T("판타지 웹소설 &gt; 퓨전 판타지")</f>
        <v>판타지 웹소설 &gt; 퓨전 판타지</v>
      </c>
    </row>
    <row r="3465" spans="1:48" x14ac:dyDescent="0.4">
      <c r="A3465">
        <v>2313012849</v>
      </c>
      <c r="B3465">
        <v>2313013626</v>
      </c>
      <c r="C3465" t="str">
        <f>T("디버프 마스터 778화")</f>
        <v>디버프 마스터 778화</v>
      </c>
      <c r="D3465" t="str">
        <f>T("778")</f>
        <v>778</v>
      </c>
      <c r="E3465" t="str">
        <f t="shared" si="488"/>
        <v>담화공</v>
      </c>
      <c r="H3465" t="str">
        <f t="shared" si="487"/>
        <v>스토리위즈</v>
      </c>
      <c r="I3465" t="str">
        <f t="shared" si="489"/>
        <v>디버프 마스터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T3465" t="str">
        <f t="shared" si="490"/>
        <v>9791137602663</v>
      </c>
      <c r="AV3465" t="str">
        <f t="shared" si="491"/>
        <v>판타지 웹소설 &gt; 퓨전 판타지</v>
      </c>
    </row>
    <row r="3466" spans="1:48" x14ac:dyDescent="0.4">
      <c r="A3466">
        <v>2313012849</v>
      </c>
      <c r="B3466">
        <v>2313013627</v>
      </c>
      <c r="C3466" t="str">
        <f>T("디버프 마스터 779화")</f>
        <v>디버프 마스터 779화</v>
      </c>
      <c r="D3466" t="str">
        <f>T("779")</f>
        <v>779</v>
      </c>
      <c r="E3466" t="str">
        <f t="shared" si="488"/>
        <v>담화공</v>
      </c>
      <c r="H3466" t="str">
        <f t="shared" si="487"/>
        <v>스토리위즈</v>
      </c>
      <c r="I3466" t="str">
        <f t="shared" si="489"/>
        <v>디버프 마스터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T3466" t="str">
        <f t="shared" si="490"/>
        <v>9791137602663</v>
      </c>
      <c r="AV3466" t="str">
        <f t="shared" si="491"/>
        <v>판타지 웹소설 &gt; 퓨전 판타지</v>
      </c>
    </row>
    <row r="3467" spans="1:48" x14ac:dyDescent="0.4">
      <c r="A3467">
        <v>2313012849</v>
      </c>
      <c r="B3467">
        <v>2313013628</v>
      </c>
      <c r="C3467" t="str">
        <f>T("디버프 마스터 780화")</f>
        <v>디버프 마스터 780화</v>
      </c>
      <c r="D3467" t="str">
        <f>T("780")</f>
        <v>780</v>
      </c>
      <c r="E3467" t="str">
        <f t="shared" si="488"/>
        <v>담화공</v>
      </c>
      <c r="H3467" t="str">
        <f t="shared" si="487"/>
        <v>스토리위즈</v>
      </c>
      <c r="I3467" t="str">
        <f t="shared" si="489"/>
        <v>디버프 마스터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si="490"/>
        <v>9791137602663</v>
      </c>
      <c r="AV3467" t="str">
        <f t="shared" si="491"/>
        <v>판타지 웹소설 &gt; 퓨전 판타지</v>
      </c>
    </row>
    <row r="3468" spans="1:48" x14ac:dyDescent="0.4">
      <c r="A3468">
        <v>2313012849</v>
      </c>
      <c r="B3468">
        <v>2313013629</v>
      </c>
      <c r="C3468" t="str">
        <f>T("디버프 마스터 781화")</f>
        <v>디버프 마스터 781화</v>
      </c>
      <c r="D3468" t="str">
        <f>T("781")</f>
        <v>781</v>
      </c>
      <c r="E3468" t="str">
        <f t="shared" si="488"/>
        <v>담화공</v>
      </c>
      <c r="H3468" t="str">
        <f t="shared" si="487"/>
        <v>스토리위즈</v>
      </c>
      <c r="I3468" t="str">
        <f t="shared" si="489"/>
        <v>디버프 마스터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490"/>
        <v>9791137602663</v>
      </c>
      <c r="AV3468" t="str">
        <f t="shared" si="491"/>
        <v>판타지 웹소설 &gt; 퓨전 판타지</v>
      </c>
    </row>
    <row r="3469" spans="1:48" x14ac:dyDescent="0.4">
      <c r="A3469">
        <v>2313012849</v>
      </c>
      <c r="B3469">
        <v>2313013630</v>
      </c>
      <c r="C3469" t="str">
        <f>T("디버프 마스터 782화")</f>
        <v>디버프 마스터 782화</v>
      </c>
      <c r="D3469" t="str">
        <f>T("782")</f>
        <v>782</v>
      </c>
      <c r="E3469" t="str">
        <f t="shared" si="488"/>
        <v>담화공</v>
      </c>
      <c r="H3469" t="str">
        <f t="shared" si="487"/>
        <v>스토리위즈</v>
      </c>
      <c r="I3469" t="str">
        <f t="shared" si="489"/>
        <v>디버프 마스터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490"/>
        <v>9791137602663</v>
      </c>
      <c r="AV3469" t="str">
        <f t="shared" si="491"/>
        <v>판타지 웹소설 &gt; 퓨전 판타지</v>
      </c>
    </row>
    <row r="3470" spans="1:48" x14ac:dyDescent="0.4">
      <c r="A3470">
        <v>2313012849</v>
      </c>
      <c r="B3470">
        <v>2313013631</v>
      </c>
      <c r="C3470" t="str">
        <f>T("디버프 마스터 783화")</f>
        <v>디버프 마스터 783화</v>
      </c>
      <c r="D3470" t="str">
        <f>T("783")</f>
        <v>783</v>
      </c>
      <c r="E3470" t="str">
        <f t="shared" si="488"/>
        <v>담화공</v>
      </c>
      <c r="H3470" t="str">
        <f t="shared" si="487"/>
        <v>스토리위즈</v>
      </c>
      <c r="I3470" t="str">
        <f t="shared" si="489"/>
        <v>디버프 마스터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490"/>
        <v>9791137602663</v>
      </c>
      <c r="AV3470" t="str">
        <f t="shared" si="491"/>
        <v>판타지 웹소설 &gt; 퓨전 판타지</v>
      </c>
    </row>
    <row r="3471" spans="1:48" x14ac:dyDescent="0.4">
      <c r="A3471">
        <v>2313012849</v>
      </c>
      <c r="B3471">
        <v>2313013632</v>
      </c>
      <c r="C3471" t="str">
        <f>T("디버프 마스터 784화")</f>
        <v>디버프 마스터 784화</v>
      </c>
      <c r="D3471" t="str">
        <f>T("784")</f>
        <v>784</v>
      </c>
      <c r="E3471" t="str">
        <f t="shared" si="488"/>
        <v>담화공</v>
      </c>
      <c r="H3471" t="str">
        <f t="shared" si="487"/>
        <v>스토리위즈</v>
      </c>
      <c r="I3471" t="str">
        <f t="shared" si="489"/>
        <v>디버프 마스터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490"/>
        <v>9791137602663</v>
      </c>
      <c r="AV3471" t="str">
        <f t="shared" si="491"/>
        <v>판타지 웹소설 &gt; 퓨전 판타지</v>
      </c>
    </row>
    <row r="3472" spans="1:48" x14ac:dyDescent="0.4">
      <c r="A3472">
        <v>2313012849</v>
      </c>
      <c r="B3472">
        <v>2313013633</v>
      </c>
      <c r="C3472" t="str">
        <f>T("디버프 마스터 785화")</f>
        <v>디버프 마스터 785화</v>
      </c>
      <c r="D3472" t="str">
        <f>T("785")</f>
        <v>785</v>
      </c>
      <c r="E3472" t="str">
        <f t="shared" si="488"/>
        <v>담화공</v>
      </c>
      <c r="H3472" t="str">
        <f t="shared" si="487"/>
        <v>스토리위즈</v>
      </c>
      <c r="I3472" t="str">
        <f t="shared" si="489"/>
        <v>디버프 마스터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490"/>
        <v>9791137602663</v>
      </c>
      <c r="AV3472" t="str">
        <f t="shared" si="491"/>
        <v>판타지 웹소설 &gt; 퓨전 판타지</v>
      </c>
    </row>
    <row r="3473" spans="1:48" x14ac:dyDescent="0.4">
      <c r="A3473">
        <v>2313012849</v>
      </c>
      <c r="B3473">
        <v>2313013634</v>
      </c>
      <c r="C3473" t="str">
        <f>T("디버프 마스터 786화")</f>
        <v>디버프 마스터 786화</v>
      </c>
      <c r="D3473" t="str">
        <f>T("786")</f>
        <v>786</v>
      </c>
      <c r="E3473" t="str">
        <f t="shared" si="488"/>
        <v>담화공</v>
      </c>
      <c r="H3473" t="str">
        <f t="shared" si="487"/>
        <v>스토리위즈</v>
      </c>
      <c r="I3473" t="str">
        <f t="shared" si="489"/>
        <v>디버프 마스터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490"/>
        <v>9791137602663</v>
      </c>
      <c r="AV3473" t="str">
        <f t="shared" si="491"/>
        <v>판타지 웹소설 &gt; 퓨전 판타지</v>
      </c>
    </row>
    <row r="3474" spans="1:48" x14ac:dyDescent="0.4">
      <c r="A3474">
        <v>2313012849</v>
      </c>
      <c r="B3474">
        <v>2313013635</v>
      </c>
      <c r="C3474" t="str">
        <f>T("디버프 마스터 787화")</f>
        <v>디버프 마스터 787화</v>
      </c>
      <c r="D3474" t="str">
        <f>T("787")</f>
        <v>787</v>
      </c>
      <c r="E3474" t="str">
        <f t="shared" si="488"/>
        <v>담화공</v>
      </c>
      <c r="H3474" t="str">
        <f t="shared" si="487"/>
        <v>스토리위즈</v>
      </c>
      <c r="I3474" t="str">
        <f t="shared" si="489"/>
        <v>디버프 마스터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490"/>
        <v>9791137602663</v>
      </c>
      <c r="AV3474" t="str">
        <f t="shared" si="491"/>
        <v>판타지 웹소설 &gt; 퓨전 판타지</v>
      </c>
    </row>
    <row r="3475" spans="1:48" x14ac:dyDescent="0.4">
      <c r="A3475">
        <v>2313012849</v>
      </c>
      <c r="B3475">
        <v>2313013636</v>
      </c>
      <c r="C3475" t="str">
        <f>T("디버프 마스터 788화")</f>
        <v>디버프 마스터 788화</v>
      </c>
      <c r="D3475" t="str">
        <f>T("788")</f>
        <v>788</v>
      </c>
      <c r="E3475" t="str">
        <f t="shared" si="488"/>
        <v>담화공</v>
      </c>
      <c r="H3475" t="str">
        <f t="shared" si="487"/>
        <v>스토리위즈</v>
      </c>
      <c r="I3475" t="str">
        <f t="shared" si="489"/>
        <v>디버프 마스터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490"/>
        <v>9791137602663</v>
      </c>
      <c r="AV3475" t="str">
        <f t="shared" si="491"/>
        <v>판타지 웹소설 &gt; 퓨전 판타지</v>
      </c>
    </row>
    <row r="3476" spans="1:48" x14ac:dyDescent="0.4">
      <c r="A3476">
        <v>2313012849</v>
      </c>
      <c r="B3476">
        <v>2313013637</v>
      </c>
      <c r="C3476" t="str">
        <f>T("디버프 마스터 789화")</f>
        <v>디버프 마스터 789화</v>
      </c>
      <c r="D3476" t="str">
        <f>T("789")</f>
        <v>789</v>
      </c>
      <c r="E3476" t="str">
        <f t="shared" si="488"/>
        <v>담화공</v>
      </c>
      <c r="H3476" t="str">
        <f t="shared" si="487"/>
        <v>스토리위즈</v>
      </c>
      <c r="I3476" t="str">
        <f t="shared" si="489"/>
        <v>디버프 마스터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490"/>
        <v>9791137602663</v>
      </c>
      <c r="AV3476" t="str">
        <f t="shared" si="491"/>
        <v>판타지 웹소설 &gt; 퓨전 판타지</v>
      </c>
    </row>
    <row r="3477" spans="1:48" x14ac:dyDescent="0.4">
      <c r="A3477">
        <v>2313012849</v>
      </c>
      <c r="B3477">
        <v>2313013638</v>
      </c>
      <c r="C3477" t="str">
        <f>T("디버프 마스터 790화")</f>
        <v>디버프 마스터 790화</v>
      </c>
      <c r="D3477" t="str">
        <f>T("790")</f>
        <v>790</v>
      </c>
      <c r="E3477" t="str">
        <f t="shared" si="488"/>
        <v>담화공</v>
      </c>
      <c r="H3477" t="str">
        <f t="shared" si="487"/>
        <v>스토리위즈</v>
      </c>
      <c r="I3477" t="str">
        <f t="shared" si="489"/>
        <v>디버프 마스터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490"/>
        <v>9791137602663</v>
      </c>
      <c r="AV3477" t="str">
        <f t="shared" si="491"/>
        <v>판타지 웹소설 &gt; 퓨전 판타지</v>
      </c>
    </row>
    <row r="3478" spans="1:48" x14ac:dyDescent="0.4">
      <c r="A3478">
        <v>2313012849</v>
      </c>
      <c r="B3478">
        <v>2313013639</v>
      </c>
      <c r="C3478" t="str">
        <f>T("디버프 마스터 791화")</f>
        <v>디버프 마스터 791화</v>
      </c>
      <c r="D3478" t="str">
        <f>T("791")</f>
        <v>791</v>
      </c>
      <c r="E3478" t="str">
        <f t="shared" si="488"/>
        <v>담화공</v>
      </c>
      <c r="H3478" t="str">
        <f t="shared" si="487"/>
        <v>스토리위즈</v>
      </c>
      <c r="I3478" t="str">
        <f t="shared" si="489"/>
        <v>디버프 마스터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490"/>
        <v>9791137602663</v>
      </c>
      <c r="AV3478" t="str">
        <f t="shared" si="491"/>
        <v>판타지 웹소설 &gt; 퓨전 판타지</v>
      </c>
    </row>
    <row r="3479" spans="1:48" x14ac:dyDescent="0.4">
      <c r="A3479">
        <v>2313012849</v>
      </c>
      <c r="B3479">
        <v>2313013640</v>
      </c>
      <c r="C3479" t="str">
        <f>T("디버프 마스터 792화")</f>
        <v>디버프 마스터 792화</v>
      </c>
      <c r="D3479" t="str">
        <f>T("792")</f>
        <v>792</v>
      </c>
      <c r="E3479" t="str">
        <f t="shared" si="488"/>
        <v>담화공</v>
      </c>
      <c r="H3479" t="str">
        <f t="shared" si="487"/>
        <v>스토리위즈</v>
      </c>
      <c r="I3479" t="str">
        <f t="shared" si="489"/>
        <v>디버프 마스터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490"/>
        <v>9791137602663</v>
      </c>
      <c r="AV3479" t="str">
        <f t="shared" si="491"/>
        <v>판타지 웹소설 &gt; 퓨전 판타지</v>
      </c>
    </row>
    <row r="3480" spans="1:48" x14ac:dyDescent="0.4">
      <c r="A3480">
        <v>2313012849</v>
      </c>
      <c r="B3480">
        <v>2313013641</v>
      </c>
      <c r="C3480" t="str">
        <f>T("디버프 마스터 793화")</f>
        <v>디버프 마스터 793화</v>
      </c>
      <c r="D3480" t="str">
        <f>T("793")</f>
        <v>793</v>
      </c>
      <c r="E3480" t="str">
        <f t="shared" si="488"/>
        <v>담화공</v>
      </c>
      <c r="H3480" t="str">
        <f t="shared" si="487"/>
        <v>스토리위즈</v>
      </c>
      <c r="I3480" t="str">
        <f t="shared" si="489"/>
        <v>디버프 마스터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490"/>
        <v>9791137602663</v>
      </c>
      <c r="AV3480" t="str">
        <f t="shared" si="491"/>
        <v>판타지 웹소설 &gt; 퓨전 판타지</v>
      </c>
    </row>
    <row r="3481" spans="1:48" x14ac:dyDescent="0.4">
      <c r="A3481">
        <v>2313012849</v>
      </c>
      <c r="B3481">
        <v>2313013642</v>
      </c>
      <c r="C3481" t="str">
        <f>T("디버프 마스터 794화")</f>
        <v>디버프 마스터 794화</v>
      </c>
      <c r="D3481" t="str">
        <f>T("794")</f>
        <v>794</v>
      </c>
      <c r="E3481" t="str">
        <f t="shared" si="488"/>
        <v>담화공</v>
      </c>
      <c r="H3481" t="str">
        <f t="shared" si="487"/>
        <v>스토리위즈</v>
      </c>
      <c r="I3481" t="str">
        <f t="shared" si="489"/>
        <v>디버프 마스터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490"/>
        <v>9791137602663</v>
      </c>
      <c r="AV3481" t="str">
        <f t="shared" si="491"/>
        <v>판타지 웹소설 &gt; 퓨전 판타지</v>
      </c>
    </row>
    <row r="3482" spans="1:48" x14ac:dyDescent="0.4">
      <c r="A3482">
        <v>2313012849</v>
      </c>
      <c r="B3482">
        <v>2313013643</v>
      </c>
      <c r="C3482" t="str">
        <f>T("디버프 마스터 795화")</f>
        <v>디버프 마스터 795화</v>
      </c>
      <c r="D3482" t="str">
        <f>T("795")</f>
        <v>795</v>
      </c>
      <c r="E3482" t="str">
        <f t="shared" si="488"/>
        <v>담화공</v>
      </c>
      <c r="H3482" t="str">
        <f t="shared" si="487"/>
        <v>스토리위즈</v>
      </c>
      <c r="I3482" t="str">
        <f t="shared" si="489"/>
        <v>디버프 마스터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70</v>
      </c>
      <c r="AT3482" t="str">
        <f t="shared" si="490"/>
        <v>9791137602663</v>
      </c>
      <c r="AV3482" t="str">
        <f t="shared" si="491"/>
        <v>판타지 웹소설 &gt; 퓨전 판타지</v>
      </c>
    </row>
    <row r="3483" spans="1:48" x14ac:dyDescent="0.4">
      <c r="A3483">
        <v>2313012849</v>
      </c>
      <c r="B3483">
        <v>2313013644</v>
      </c>
      <c r="C3483" t="str">
        <f>T("디버프 마스터 796화")</f>
        <v>디버프 마스터 796화</v>
      </c>
      <c r="D3483" t="str">
        <f>T("796")</f>
        <v>796</v>
      </c>
      <c r="E3483" t="str">
        <f t="shared" si="488"/>
        <v>담화공</v>
      </c>
      <c r="H3483" t="str">
        <f t="shared" si="487"/>
        <v>스토리위즈</v>
      </c>
      <c r="I3483" t="str">
        <f t="shared" si="489"/>
        <v>디버프 마스터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si="490"/>
        <v>9791137602663</v>
      </c>
      <c r="AV3483" t="str">
        <f t="shared" si="491"/>
        <v>판타지 웹소설 &gt; 퓨전 판타지</v>
      </c>
    </row>
    <row r="3484" spans="1:48" x14ac:dyDescent="0.4">
      <c r="A3484">
        <v>2313012849</v>
      </c>
      <c r="B3484">
        <v>2313013645</v>
      </c>
      <c r="C3484" t="str">
        <f>T("디버프 마스터 797화")</f>
        <v>디버프 마스터 797화</v>
      </c>
      <c r="D3484" t="str">
        <f>T("797")</f>
        <v>797</v>
      </c>
      <c r="E3484" t="str">
        <f t="shared" si="488"/>
        <v>담화공</v>
      </c>
      <c r="H3484" t="str">
        <f t="shared" si="487"/>
        <v>스토리위즈</v>
      </c>
      <c r="I3484" t="str">
        <f t="shared" si="489"/>
        <v>디버프 마스터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490"/>
        <v>9791137602663</v>
      </c>
      <c r="AV3484" t="str">
        <f t="shared" si="491"/>
        <v>판타지 웹소설 &gt; 퓨전 판타지</v>
      </c>
    </row>
    <row r="3485" spans="1:48" x14ac:dyDescent="0.4">
      <c r="A3485">
        <v>2313012849</v>
      </c>
      <c r="B3485">
        <v>2313013646</v>
      </c>
      <c r="C3485" t="str">
        <f>T("디버프 마스터 798화")</f>
        <v>디버프 마스터 798화</v>
      </c>
      <c r="D3485" t="str">
        <f>T("798")</f>
        <v>798</v>
      </c>
      <c r="E3485" t="str">
        <f t="shared" si="488"/>
        <v>담화공</v>
      </c>
      <c r="H3485" t="str">
        <f t="shared" si="487"/>
        <v>스토리위즈</v>
      </c>
      <c r="I3485" t="str">
        <f t="shared" si="489"/>
        <v>디버프 마스터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490"/>
        <v>9791137602663</v>
      </c>
      <c r="AV3485" t="str">
        <f t="shared" si="491"/>
        <v>판타지 웹소설 &gt; 퓨전 판타지</v>
      </c>
    </row>
    <row r="3486" spans="1:48" x14ac:dyDescent="0.4">
      <c r="A3486">
        <v>2313012849</v>
      </c>
      <c r="B3486">
        <v>2313013647</v>
      </c>
      <c r="C3486" t="str">
        <f>T("디버프 마스터 799화")</f>
        <v>디버프 마스터 799화</v>
      </c>
      <c r="D3486" t="str">
        <f>T("799")</f>
        <v>799</v>
      </c>
      <c r="E3486" t="str">
        <f t="shared" si="488"/>
        <v>담화공</v>
      </c>
      <c r="H3486" t="str">
        <f t="shared" si="487"/>
        <v>스토리위즈</v>
      </c>
      <c r="I3486" t="str">
        <f t="shared" si="489"/>
        <v>디버프 마스터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490"/>
        <v>9791137602663</v>
      </c>
      <c r="AV3486" t="str">
        <f t="shared" si="491"/>
        <v>판타지 웹소설 &gt; 퓨전 판타지</v>
      </c>
    </row>
    <row r="3487" spans="1:48" x14ac:dyDescent="0.4">
      <c r="A3487">
        <v>2313012849</v>
      </c>
      <c r="B3487">
        <v>2313013648</v>
      </c>
      <c r="C3487" t="str">
        <f>T("디버프 마스터 800화")</f>
        <v>디버프 마스터 800화</v>
      </c>
      <c r="D3487" t="str">
        <f>T("800")</f>
        <v>800</v>
      </c>
      <c r="E3487" t="str">
        <f t="shared" si="488"/>
        <v>담화공</v>
      </c>
      <c r="H3487" t="str">
        <f t="shared" si="487"/>
        <v>스토리위즈</v>
      </c>
      <c r="I3487" t="str">
        <f t="shared" si="489"/>
        <v>디버프 마스터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70</v>
      </c>
      <c r="AT3487" t="str">
        <f t="shared" si="490"/>
        <v>9791137602663</v>
      </c>
      <c r="AV3487" t="str">
        <f t="shared" si="491"/>
        <v>판타지 웹소설 &gt; 퓨전 판타지</v>
      </c>
    </row>
    <row r="3488" spans="1:48" x14ac:dyDescent="0.4">
      <c r="A3488">
        <v>2313012849</v>
      </c>
      <c r="B3488">
        <v>2313013649</v>
      </c>
      <c r="C3488" t="str">
        <f>T("디버프 마스터 801화")</f>
        <v>디버프 마스터 801화</v>
      </c>
      <c r="D3488" t="str">
        <f>T("801")</f>
        <v>801</v>
      </c>
      <c r="E3488" t="str">
        <f t="shared" si="488"/>
        <v>담화공</v>
      </c>
      <c r="H3488" t="str">
        <f t="shared" si="487"/>
        <v>스토리위즈</v>
      </c>
      <c r="I3488" t="str">
        <f t="shared" si="489"/>
        <v>디버프 마스터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70</v>
      </c>
      <c r="AT3488" t="str">
        <f t="shared" si="490"/>
        <v>9791137602663</v>
      </c>
      <c r="AV3488" t="str">
        <f t="shared" si="491"/>
        <v>판타지 웹소설 &gt; 퓨전 판타지</v>
      </c>
    </row>
    <row r="3489" spans="1:48" x14ac:dyDescent="0.4">
      <c r="A3489">
        <v>2313012849</v>
      </c>
      <c r="B3489">
        <v>2313013650</v>
      </c>
      <c r="C3489" t="str">
        <f>T("디버프 마스터 802화")</f>
        <v>디버프 마스터 802화</v>
      </c>
      <c r="D3489" t="str">
        <f>T("802")</f>
        <v>802</v>
      </c>
      <c r="E3489" t="str">
        <f t="shared" si="488"/>
        <v>담화공</v>
      </c>
      <c r="H3489" t="str">
        <f t="shared" si="487"/>
        <v>스토리위즈</v>
      </c>
      <c r="I3489" t="str">
        <f t="shared" si="489"/>
        <v>디버프 마스터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70</v>
      </c>
      <c r="AT3489" t="str">
        <f t="shared" si="490"/>
        <v>9791137602663</v>
      </c>
      <c r="AV3489" t="str">
        <f t="shared" si="491"/>
        <v>판타지 웹소설 &gt; 퓨전 판타지</v>
      </c>
    </row>
    <row r="3490" spans="1:48" x14ac:dyDescent="0.4">
      <c r="A3490">
        <v>2313012849</v>
      </c>
      <c r="B3490">
        <v>2313013651</v>
      </c>
      <c r="C3490" t="str">
        <f>T("디버프 마스터 803화")</f>
        <v>디버프 마스터 803화</v>
      </c>
      <c r="D3490" t="str">
        <f>T("803")</f>
        <v>803</v>
      </c>
      <c r="E3490" t="str">
        <f t="shared" si="488"/>
        <v>담화공</v>
      </c>
      <c r="H3490" t="str">
        <f t="shared" si="487"/>
        <v>스토리위즈</v>
      </c>
      <c r="I3490" t="str">
        <f t="shared" si="489"/>
        <v>디버프 마스터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70</v>
      </c>
      <c r="AT3490" t="str">
        <f t="shared" si="490"/>
        <v>9791137602663</v>
      </c>
      <c r="AV3490" t="str">
        <f t="shared" si="491"/>
        <v>판타지 웹소설 &gt; 퓨전 판타지</v>
      </c>
    </row>
    <row r="3491" spans="1:48" x14ac:dyDescent="0.4">
      <c r="A3491">
        <v>2313012849</v>
      </c>
      <c r="B3491">
        <v>2313013652</v>
      </c>
      <c r="C3491" t="str">
        <f>T("디버프 마스터 804화")</f>
        <v>디버프 마스터 804화</v>
      </c>
      <c r="D3491" t="str">
        <f>T("804")</f>
        <v>804</v>
      </c>
      <c r="E3491" t="str">
        <f t="shared" si="488"/>
        <v>담화공</v>
      </c>
      <c r="H3491" t="str">
        <f t="shared" si="487"/>
        <v>스토리위즈</v>
      </c>
      <c r="I3491" t="str">
        <f t="shared" si="489"/>
        <v>디버프 마스터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70</v>
      </c>
      <c r="AT3491" t="str">
        <f t="shared" si="490"/>
        <v>9791137602663</v>
      </c>
      <c r="AV3491" t="str">
        <f t="shared" si="491"/>
        <v>판타지 웹소설 &gt; 퓨전 판타지</v>
      </c>
    </row>
    <row r="3492" spans="1:48" x14ac:dyDescent="0.4">
      <c r="A3492">
        <v>2313012849</v>
      </c>
      <c r="B3492">
        <v>2313013653</v>
      </c>
      <c r="C3492" t="str">
        <f>T("디버프 마스터 805화")</f>
        <v>디버프 마스터 805화</v>
      </c>
      <c r="D3492" t="str">
        <f>T("805")</f>
        <v>805</v>
      </c>
      <c r="E3492" t="str">
        <f t="shared" si="488"/>
        <v>담화공</v>
      </c>
      <c r="H3492" t="str">
        <f t="shared" si="487"/>
        <v>스토리위즈</v>
      </c>
      <c r="I3492" t="str">
        <f t="shared" si="489"/>
        <v>디버프 마스터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70</v>
      </c>
      <c r="AT3492" t="str">
        <f t="shared" si="490"/>
        <v>9791137602663</v>
      </c>
      <c r="AV3492" t="str">
        <f t="shared" si="491"/>
        <v>판타지 웹소설 &gt; 퓨전 판타지</v>
      </c>
    </row>
    <row r="3493" spans="1:48" x14ac:dyDescent="0.4">
      <c r="A3493">
        <v>2313012849</v>
      </c>
      <c r="B3493">
        <v>2313013654</v>
      </c>
      <c r="C3493" t="str">
        <f>T("디버프 마스터 806화")</f>
        <v>디버프 마스터 806화</v>
      </c>
      <c r="D3493" t="str">
        <f>T("806")</f>
        <v>806</v>
      </c>
      <c r="E3493" t="str">
        <f t="shared" si="488"/>
        <v>담화공</v>
      </c>
      <c r="H3493" t="str">
        <f t="shared" si="487"/>
        <v>스토리위즈</v>
      </c>
      <c r="I3493" t="str">
        <f t="shared" si="489"/>
        <v>디버프 마스터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70</v>
      </c>
      <c r="AT3493" t="str">
        <f t="shared" si="490"/>
        <v>9791137602663</v>
      </c>
      <c r="AV3493" t="str">
        <f t="shared" si="491"/>
        <v>판타지 웹소설 &gt; 퓨전 판타지</v>
      </c>
    </row>
    <row r="3494" spans="1:48" x14ac:dyDescent="0.4">
      <c r="A3494">
        <v>2313012849</v>
      </c>
      <c r="B3494">
        <v>2313013655</v>
      </c>
      <c r="C3494" t="str">
        <f>T("디버프 마스터 807화")</f>
        <v>디버프 마스터 807화</v>
      </c>
      <c r="D3494" t="str">
        <f>T("807")</f>
        <v>807</v>
      </c>
      <c r="E3494" t="str">
        <f t="shared" si="488"/>
        <v>담화공</v>
      </c>
      <c r="H3494" t="str">
        <f t="shared" si="487"/>
        <v>스토리위즈</v>
      </c>
      <c r="I3494" t="str">
        <f t="shared" si="489"/>
        <v>디버프 마스터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70</v>
      </c>
      <c r="AT3494" t="str">
        <f t="shared" si="490"/>
        <v>9791137602663</v>
      </c>
      <c r="AV3494" t="str">
        <f t="shared" si="491"/>
        <v>판타지 웹소설 &gt; 퓨전 판타지</v>
      </c>
    </row>
    <row r="3495" spans="1:48" x14ac:dyDescent="0.4">
      <c r="A3495">
        <v>2313012849</v>
      </c>
      <c r="B3495">
        <v>2313013656</v>
      </c>
      <c r="C3495" t="str">
        <f>T("디버프 마스터 808화")</f>
        <v>디버프 마스터 808화</v>
      </c>
      <c r="D3495" t="str">
        <f>T("808")</f>
        <v>808</v>
      </c>
      <c r="E3495" t="str">
        <f t="shared" si="488"/>
        <v>담화공</v>
      </c>
      <c r="H3495" t="str">
        <f t="shared" si="487"/>
        <v>스토리위즈</v>
      </c>
      <c r="I3495" t="str">
        <f t="shared" si="489"/>
        <v>디버프 마스터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70</v>
      </c>
      <c r="AT3495" t="str">
        <f t="shared" si="490"/>
        <v>9791137602663</v>
      </c>
      <c r="AV3495" t="str">
        <f t="shared" si="491"/>
        <v>판타지 웹소설 &gt; 퓨전 판타지</v>
      </c>
    </row>
    <row r="3496" spans="1:48" x14ac:dyDescent="0.4">
      <c r="A3496">
        <v>2313012849</v>
      </c>
      <c r="B3496">
        <v>2313013657</v>
      </c>
      <c r="C3496" t="str">
        <f>T("디버프 마스터 809화")</f>
        <v>디버프 마스터 809화</v>
      </c>
      <c r="D3496" t="str">
        <f>T("809")</f>
        <v>809</v>
      </c>
      <c r="E3496" t="str">
        <f t="shared" si="488"/>
        <v>담화공</v>
      </c>
      <c r="H3496" t="str">
        <f t="shared" si="487"/>
        <v>스토리위즈</v>
      </c>
      <c r="I3496" t="str">
        <f t="shared" si="489"/>
        <v>디버프 마스터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70</v>
      </c>
      <c r="AT3496" t="str">
        <f t="shared" si="490"/>
        <v>9791137602663</v>
      </c>
      <c r="AV3496" t="str">
        <f t="shared" si="491"/>
        <v>판타지 웹소설 &gt; 퓨전 판타지</v>
      </c>
    </row>
    <row r="3497" spans="1:48" x14ac:dyDescent="0.4">
      <c r="A3497">
        <v>2313012849</v>
      </c>
      <c r="B3497">
        <v>2313013658</v>
      </c>
      <c r="C3497" t="str">
        <f>T("디버프 마스터 810화")</f>
        <v>디버프 마스터 810화</v>
      </c>
      <c r="D3497" t="str">
        <f>T("810")</f>
        <v>810</v>
      </c>
      <c r="E3497" t="str">
        <f t="shared" si="488"/>
        <v>담화공</v>
      </c>
      <c r="H3497" t="str">
        <f t="shared" si="487"/>
        <v>스토리위즈</v>
      </c>
      <c r="I3497" t="str">
        <f t="shared" si="489"/>
        <v>디버프 마스터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70</v>
      </c>
      <c r="AT3497" t="str">
        <f t="shared" si="490"/>
        <v>9791137602663</v>
      </c>
      <c r="AV3497" t="str">
        <f t="shared" si="491"/>
        <v>판타지 웹소설 &gt; 퓨전 판타지</v>
      </c>
    </row>
    <row r="3498" spans="1:48" x14ac:dyDescent="0.4">
      <c r="A3498">
        <v>2313012849</v>
      </c>
      <c r="B3498">
        <v>2313013659</v>
      </c>
      <c r="C3498" t="str">
        <f>T("디버프 마스터 811화")</f>
        <v>디버프 마스터 811화</v>
      </c>
      <c r="D3498" t="str">
        <f>T("811")</f>
        <v>811</v>
      </c>
      <c r="E3498" t="str">
        <f t="shared" si="488"/>
        <v>담화공</v>
      </c>
      <c r="H3498" t="str">
        <f t="shared" si="487"/>
        <v>스토리위즈</v>
      </c>
      <c r="I3498" t="str">
        <f t="shared" si="489"/>
        <v>디버프 마스터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70</v>
      </c>
      <c r="AT3498" t="str">
        <f t="shared" si="490"/>
        <v>9791137602663</v>
      </c>
      <c r="AV3498" t="str">
        <f t="shared" si="491"/>
        <v>판타지 웹소설 &gt; 퓨전 판타지</v>
      </c>
    </row>
    <row r="3499" spans="1:48" x14ac:dyDescent="0.4">
      <c r="A3499">
        <v>2313012849</v>
      </c>
      <c r="B3499">
        <v>2313013660</v>
      </c>
      <c r="C3499" t="str">
        <f>T("디버프 마스터 812화")</f>
        <v>디버프 마스터 812화</v>
      </c>
      <c r="D3499" t="str">
        <f>T("812")</f>
        <v>812</v>
      </c>
      <c r="E3499" t="str">
        <f t="shared" si="488"/>
        <v>담화공</v>
      </c>
      <c r="H3499" t="str">
        <f t="shared" si="487"/>
        <v>스토리위즈</v>
      </c>
      <c r="I3499" t="str">
        <f t="shared" si="489"/>
        <v>디버프 마스터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70</v>
      </c>
      <c r="AT3499" t="str">
        <f t="shared" si="490"/>
        <v>9791137602663</v>
      </c>
      <c r="AV3499" t="str">
        <f t="shared" si="491"/>
        <v>판타지 웹소설 &gt; 퓨전 판타지</v>
      </c>
    </row>
    <row r="3500" spans="1:48" x14ac:dyDescent="0.4">
      <c r="A3500">
        <v>2313012849</v>
      </c>
      <c r="B3500">
        <v>2313013661</v>
      </c>
      <c r="C3500" t="str">
        <f>T("디버프 마스터 813화")</f>
        <v>디버프 마스터 813화</v>
      </c>
      <c r="D3500" t="str">
        <f>T("813")</f>
        <v>813</v>
      </c>
      <c r="E3500" t="str">
        <f t="shared" si="488"/>
        <v>담화공</v>
      </c>
      <c r="H3500" t="str">
        <f t="shared" si="487"/>
        <v>스토리위즈</v>
      </c>
      <c r="I3500" t="str">
        <f t="shared" si="489"/>
        <v>디버프 마스터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70</v>
      </c>
      <c r="AT3500" t="str">
        <f t="shared" si="490"/>
        <v>9791137602663</v>
      </c>
      <c r="AV3500" t="str">
        <f t="shared" si="491"/>
        <v>판타지 웹소설 &gt; 퓨전 판타지</v>
      </c>
    </row>
    <row r="3501" spans="1:48" x14ac:dyDescent="0.4">
      <c r="A3501">
        <v>2313012849</v>
      </c>
      <c r="B3501">
        <v>2313013662</v>
      </c>
      <c r="C3501" t="str">
        <f>T("디버프 마스터 814화")</f>
        <v>디버프 마스터 814화</v>
      </c>
      <c r="D3501" t="str">
        <f>T("814")</f>
        <v>814</v>
      </c>
      <c r="E3501" t="str">
        <f t="shared" si="488"/>
        <v>담화공</v>
      </c>
      <c r="H3501" t="str">
        <f t="shared" si="487"/>
        <v>스토리위즈</v>
      </c>
      <c r="I3501" t="str">
        <f t="shared" si="489"/>
        <v>디버프 마스터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70</v>
      </c>
      <c r="AT3501" t="str">
        <f t="shared" si="490"/>
        <v>9791137602663</v>
      </c>
      <c r="AV3501" t="str">
        <f t="shared" si="491"/>
        <v>판타지 웹소설 &gt; 퓨전 판타지</v>
      </c>
    </row>
    <row r="3502" spans="1:48" x14ac:dyDescent="0.4">
      <c r="A3502">
        <v>2313012849</v>
      </c>
      <c r="B3502">
        <v>2313013663</v>
      </c>
      <c r="C3502" t="str">
        <f>T("디버프 마스터 815화")</f>
        <v>디버프 마스터 815화</v>
      </c>
      <c r="D3502" t="str">
        <f>T("815")</f>
        <v>815</v>
      </c>
      <c r="E3502" t="str">
        <f t="shared" si="488"/>
        <v>담화공</v>
      </c>
      <c r="H3502" t="str">
        <f t="shared" si="487"/>
        <v>스토리위즈</v>
      </c>
      <c r="I3502" t="str">
        <f t="shared" si="489"/>
        <v>디버프 마스터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70</v>
      </c>
      <c r="AT3502" t="str">
        <f t="shared" si="490"/>
        <v>9791137602663</v>
      </c>
      <c r="AV3502" t="str">
        <f t="shared" si="491"/>
        <v>판타지 웹소설 &gt; 퓨전 판타지</v>
      </c>
    </row>
    <row r="3503" spans="1:48" x14ac:dyDescent="0.4">
      <c r="A3503">
        <v>2313012849</v>
      </c>
      <c r="B3503">
        <v>2313013664</v>
      </c>
      <c r="C3503" t="str">
        <f>T("디버프 마스터 816화")</f>
        <v>디버프 마스터 816화</v>
      </c>
      <c r="D3503" t="str">
        <f>T("816")</f>
        <v>816</v>
      </c>
      <c r="E3503" t="str">
        <f t="shared" si="488"/>
        <v>담화공</v>
      </c>
      <c r="H3503" t="str">
        <f t="shared" si="487"/>
        <v>스토리위즈</v>
      </c>
      <c r="I3503" t="str">
        <f t="shared" si="489"/>
        <v>디버프 마스터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70</v>
      </c>
      <c r="AT3503" t="str">
        <f t="shared" si="490"/>
        <v>9791137602663</v>
      </c>
      <c r="AV3503" t="str">
        <f t="shared" si="491"/>
        <v>판타지 웹소설 &gt; 퓨전 판타지</v>
      </c>
    </row>
    <row r="3504" spans="1:48" x14ac:dyDescent="0.4">
      <c r="A3504">
        <v>2313012849</v>
      </c>
      <c r="B3504">
        <v>2313013665</v>
      </c>
      <c r="C3504" t="str">
        <f>T("디버프 마스터 817화")</f>
        <v>디버프 마스터 817화</v>
      </c>
      <c r="D3504" t="str">
        <f>T("817")</f>
        <v>817</v>
      </c>
      <c r="E3504" t="str">
        <f t="shared" si="488"/>
        <v>담화공</v>
      </c>
      <c r="H3504" t="str">
        <f t="shared" si="487"/>
        <v>스토리위즈</v>
      </c>
      <c r="I3504" t="str">
        <f t="shared" si="489"/>
        <v>디버프 마스터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70</v>
      </c>
      <c r="AT3504" t="str">
        <f t="shared" si="490"/>
        <v>9791137602663</v>
      </c>
      <c r="AV3504" t="str">
        <f t="shared" si="491"/>
        <v>판타지 웹소설 &gt; 퓨전 판타지</v>
      </c>
    </row>
    <row r="3505" spans="1:48" x14ac:dyDescent="0.4">
      <c r="A3505">
        <v>2313012849</v>
      </c>
      <c r="B3505">
        <v>2313013666</v>
      </c>
      <c r="C3505" t="str">
        <f>T("디버프 마스터 818화")</f>
        <v>디버프 마스터 818화</v>
      </c>
      <c r="D3505" t="str">
        <f>T("818")</f>
        <v>818</v>
      </c>
      <c r="E3505" t="str">
        <f t="shared" si="488"/>
        <v>담화공</v>
      </c>
      <c r="H3505" t="str">
        <f t="shared" si="487"/>
        <v>스토리위즈</v>
      </c>
      <c r="I3505" t="str">
        <f t="shared" si="489"/>
        <v>디버프 마스터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70</v>
      </c>
      <c r="AT3505" t="str">
        <f t="shared" si="490"/>
        <v>9791137602663</v>
      </c>
      <c r="AV3505" t="str">
        <f t="shared" si="491"/>
        <v>판타지 웹소설 &gt; 퓨전 판타지</v>
      </c>
    </row>
    <row r="3506" spans="1:48" x14ac:dyDescent="0.4">
      <c r="A3506">
        <v>2313012849</v>
      </c>
      <c r="B3506">
        <v>2313013667</v>
      </c>
      <c r="C3506" t="str">
        <f>T("디버프 마스터 819화")</f>
        <v>디버프 마스터 819화</v>
      </c>
      <c r="D3506" t="str">
        <f>T("819")</f>
        <v>819</v>
      </c>
      <c r="E3506" t="str">
        <f t="shared" si="488"/>
        <v>담화공</v>
      </c>
      <c r="H3506" t="str">
        <f t="shared" si="487"/>
        <v>스토리위즈</v>
      </c>
      <c r="I3506" t="str">
        <f t="shared" si="489"/>
        <v>디버프 마스터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70</v>
      </c>
      <c r="AT3506" t="str">
        <f t="shared" si="490"/>
        <v>9791137602663</v>
      </c>
      <c r="AV3506" t="str">
        <f t="shared" si="491"/>
        <v>판타지 웹소설 &gt; 퓨전 판타지</v>
      </c>
    </row>
    <row r="3507" spans="1:48" x14ac:dyDescent="0.4">
      <c r="A3507">
        <v>2313012849</v>
      </c>
      <c r="B3507">
        <v>2313013668</v>
      </c>
      <c r="C3507" t="str">
        <f>T("디버프 마스터 820화")</f>
        <v>디버프 마스터 820화</v>
      </c>
      <c r="D3507" t="str">
        <f>T("820")</f>
        <v>820</v>
      </c>
      <c r="E3507" t="str">
        <f t="shared" si="488"/>
        <v>담화공</v>
      </c>
      <c r="H3507" t="str">
        <f t="shared" si="487"/>
        <v>스토리위즈</v>
      </c>
      <c r="I3507" t="str">
        <f t="shared" si="489"/>
        <v>디버프 마스터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70</v>
      </c>
      <c r="AT3507" t="str">
        <f t="shared" si="490"/>
        <v>9791137602663</v>
      </c>
      <c r="AV3507" t="str">
        <f t="shared" si="491"/>
        <v>판타지 웹소설 &gt; 퓨전 판타지</v>
      </c>
    </row>
    <row r="3508" spans="1:48" x14ac:dyDescent="0.4">
      <c r="A3508">
        <v>2313012849</v>
      </c>
      <c r="B3508">
        <v>2313013669</v>
      </c>
      <c r="C3508" t="str">
        <f>T("디버프 마스터 821화")</f>
        <v>디버프 마스터 821화</v>
      </c>
      <c r="D3508" t="str">
        <f>T("821")</f>
        <v>821</v>
      </c>
      <c r="E3508" t="str">
        <f t="shared" si="488"/>
        <v>담화공</v>
      </c>
      <c r="H3508" t="str">
        <f t="shared" si="487"/>
        <v>스토리위즈</v>
      </c>
      <c r="I3508" t="str">
        <f t="shared" si="489"/>
        <v>디버프 마스터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70</v>
      </c>
      <c r="AT3508" t="str">
        <f t="shared" si="490"/>
        <v>9791137602663</v>
      </c>
      <c r="AV3508" t="str">
        <f t="shared" si="491"/>
        <v>판타지 웹소설 &gt; 퓨전 판타지</v>
      </c>
    </row>
    <row r="3509" spans="1:48" x14ac:dyDescent="0.4">
      <c r="A3509">
        <v>2313012849</v>
      </c>
      <c r="B3509">
        <v>2313013670</v>
      </c>
      <c r="C3509" t="str">
        <f>T("디버프 마스터 822화")</f>
        <v>디버프 마스터 822화</v>
      </c>
      <c r="D3509" t="str">
        <f>T("822")</f>
        <v>822</v>
      </c>
      <c r="E3509" t="str">
        <f t="shared" si="488"/>
        <v>담화공</v>
      </c>
      <c r="H3509" t="str">
        <f t="shared" si="487"/>
        <v>스토리위즈</v>
      </c>
      <c r="I3509" t="str">
        <f t="shared" si="489"/>
        <v>디버프 마스터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70</v>
      </c>
      <c r="AT3509" t="str">
        <f t="shared" si="490"/>
        <v>9791137602663</v>
      </c>
      <c r="AV3509" t="str">
        <f t="shared" si="491"/>
        <v>판타지 웹소설 &gt; 퓨전 판타지</v>
      </c>
    </row>
    <row r="3510" spans="1:48" x14ac:dyDescent="0.4">
      <c r="A3510">
        <v>2313012849</v>
      </c>
      <c r="B3510">
        <v>2313013671</v>
      </c>
      <c r="C3510" t="str">
        <f>T("디버프 마스터 823화")</f>
        <v>디버프 마스터 823화</v>
      </c>
      <c r="D3510" t="str">
        <f>T("823")</f>
        <v>823</v>
      </c>
      <c r="E3510" t="str">
        <f t="shared" si="488"/>
        <v>담화공</v>
      </c>
      <c r="H3510" t="str">
        <f t="shared" si="487"/>
        <v>스토리위즈</v>
      </c>
      <c r="I3510" t="str">
        <f t="shared" si="489"/>
        <v>디버프 마스터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70</v>
      </c>
      <c r="AT3510" t="str">
        <f t="shared" si="490"/>
        <v>9791137602663</v>
      </c>
      <c r="AV3510" t="str">
        <f t="shared" si="491"/>
        <v>판타지 웹소설 &gt; 퓨전 판타지</v>
      </c>
    </row>
    <row r="3511" spans="1:48" x14ac:dyDescent="0.4">
      <c r="A3511">
        <v>2313012849</v>
      </c>
      <c r="B3511">
        <v>2313013672</v>
      </c>
      <c r="C3511" t="str">
        <f>T("디버프 마스터 824화")</f>
        <v>디버프 마스터 824화</v>
      </c>
      <c r="D3511" t="str">
        <f>T("824")</f>
        <v>824</v>
      </c>
      <c r="E3511" t="str">
        <f t="shared" si="488"/>
        <v>담화공</v>
      </c>
      <c r="H3511" t="str">
        <f t="shared" si="487"/>
        <v>스토리위즈</v>
      </c>
      <c r="I3511" t="str">
        <f t="shared" si="489"/>
        <v>디버프 마스터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70</v>
      </c>
      <c r="AT3511" t="str">
        <f t="shared" si="490"/>
        <v>9791137602663</v>
      </c>
      <c r="AV3511" t="str">
        <f t="shared" si="491"/>
        <v>판타지 웹소설 &gt; 퓨전 판타지</v>
      </c>
    </row>
    <row r="3512" spans="1:48" x14ac:dyDescent="0.4">
      <c r="A3512">
        <v>2313012849</v>
      </c>
      <c r="B3512">
        <v>2313013673</v>
      </c>
      <c r="C3512" t="str">
        <f>T("디버프 마스터 825화")</f>
        <v>디버프 마스터 825화</v>
      </c>
      <c r="D3512" t="str">
        <f>T("825")</f>
        <v>825</v>
      </c>
      <c r="E3512" t="str">
        <f t="shared" si="488"/>
        <v>담화공</v>
      </c>
      <c r="H3512" t="str">
        <f t="shared" si="487"/>
        <v>스토리위즈</v>
      </c>
      <c r="I3512" t="str">
        <f t="shared" si="489"/>
        <v>디버프 마스터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70</v>
      </c>
      <c r="AT3512" t="str">
        <f t="shared" si="490"/>
        <v>9791137602663</v>
      </c>
      <c r="AV3512" t="str">
        <f t="shared" si="491"/>
        <v>판타지 웹소설 &gt; 퓨전 판타지</v>
      </c>
    </row>
    <row r="3513" spans="1:48" x14ac:dyDescent="0.4">
      <c r="A3513">
        <v>2313012849</v>
      </c>
      <c r="B3513">
        <v>2313013674</v>
      </c>
      <c r="C3513" t="str">
        <f>T("디버프 마스터 826화")</f>
        <v>디버프 마스터 826화</v>
      </c>
      <c r="D3513" t="str">
        <f>T("826")</f>
        <v>826</v>
      </c>
      <c r="E3513" t="str">
        <f t="shared" si="488"/>
        <v>담화공</v>
      </c>
      <c r="H3513" t="str">
        <f t="shared" ref="H3513:H3576" si="492">T("스토리위즈")</f>
        <v>스토리위즈</v>
      </c>
      <c r="I3513" t="str">
        <f t="shared" si="489"/>
        <v>디버프 마스터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70</v>
      </c>
      <c r="AT3513" t="str">
        <f t="shared" si="490"/>
        <v>9791137602663</v>
      </c>
      <c r="AV3513" t="str">
        <f t="shared" si="491"/>
        <v>판타지 웹소설 &gt; 퓨전 판타지</v>
      </c>
    </row>
    <row r="3514" spans="1:48" x14ac:dyDescent="0.4">
      <c r="A3514">
        <v>2313012849</v>
      </c>
      <c r="B3514">
        <v>2313013675</v>
      </c>
      <c r="C3514" t="str">
        <f>T("디버프 마스터 827화")</f>
        <v>디버프 마스터 827화</v>
      </c>
      <c r="D3514" t="str">
        <f>T("827")</f>
        <v>827</v>
      </c>
      <c r="E3514" t="str">
        <f t="shared" si="488"/>
        <v>담화공</v>
      </c>
      <c r="H3514" t="str">
        <f t="shared" si="492"/>
        <v>스토리위즈</v>
      </c>
      <c r="I3514" t="str">
        <f t="shared" si="489"/>
        <v>디버프 마스터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70</v>
      </c>
      <c r="AT3514" t="str">
        <f t="shared" si="490"/>
        <v>9791137602663</v>
      </c>
      <c r="AV3514" t="str">
        <f t="shared" si="491"/>
        <v>판타지 웹소설 &gt; 퓨전 판타지</v>
      </c>
    </row>
    <row r="3515" spans="1:48" x14ac:dyDescent="0.4">
      <c r="A3515">
        <v>2313012849</v>
      </c>
      <c r="B3515">
        <v>2313013676</v>
      </c>
      <c r="C3515" t="str">
        <f>T("디버프 마스터 828화")</f>
        <v>디버프 마스터 828화</v>
      </c>
      <c r="D3515" t="str">
        <f>T("828")</f>
        <v>828</v>
      </c>
      <c r="E3515" t="str">
        <f t="shared" si="488"/>
        <v>담화공</v>
      </c>
      <c r="H3515" t="str">
        <f t="shared" si="492"/>
        <v>스토리위즈</v>
      </c>
      <c r="I3515" t="str">
        <f t="shared" si="489"/>
        <v>디버프 마스터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70</v>
      </c>
      <c r="AT3515" t="str">
        <f t="shared" si="490"/>
        <v>9791137602663</v>
      </c>
      <c r="AV3515" t="str">
        <f t="shared" si="491"/>
        <v>판타지 웹소설 &gt; 퓨전 판타지</v>
      </c>
    </row>
    <row r="3516" spans="1:48" x14ac:dyDescent="0.4">
      <c r="A3516">
        <v>2313012849</v>
      </c>
      <c r="B3516">
        <v>2313013677</v>
      </c>
      <c r="C3516" t="str">
        <f>T("디버프 마스터 829화")</f>
        <v>디버프 마스터 829화</v>
      </c>
      <c r="D3516" t="str">
        <f>T("829")</f>
        <v>829</v>
      </c>
      <c r="E3516" t="str">
        <f t="shared" si="488"/>
        <v>담화공</v>
      </c>
      <c r="H3516" t="str">
        <f t="shared" si="492"/>
        <v>스토리위즈</v>
      </c>
      <c r="I3516" t="str">
        <f t="shared" si="489"/>
        <v>디버프 마스터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70</v>
      </c>
      <c r="AT3516" t="str">
        <f t="shared" si="490"/>
        <v>9791137602663</v>
      </c>
      <c r="AV3516" t="str">
        <f t="shared" si="491"/>
        <v>판타지 웹소설 &gt; 퓨전 판타지</v>
      </c>
    </row>
    <row r="3517" spans="1:48" x14ac:dyDescent="0.4">
      <c r="A3517">
        <v>2313012849</v>
      </c>
      <c r="B3517">
        <v>2313013678</v>
      </c>
      <c r="C3517" t="str">
        <f>T("디버프 마스터 830화")</f>
        <v>디버프 마스터 830화</v>
      </c>
      <c r="D3517" t="str">
        <f>T("830")</f>
        <v>830</v>
      </c>
      <c r="E3517" t="str">
        <f t="shared" si="488"/>
        <v>담화공</v>
      </c>
      <c r="H3517" t="str">
        <f t="shared" si="492"/>
        <v>스토리위즈</v>
      </c>
      <c r="I3517" t="str">
        <f t="shared" si="489"/>
        <v>디버프 마스터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70</v>
      </c>
      <c r="AT3517" t="str">
        <f t="shared" si="490"/>
        <v>9791137602663</v>
      </c>
      <c r="AV3517" t="str">
        <f t="shared" si="491"/>
        <v>판타지 웹소설 &gt; 퓨전 판타지</v>
      </c>
    </row>
    <row r="3518" spans="1:48" x14ac:dyDescent="0.4">
      <c r="A3518">
        <v>2313012849</v>
      </c>
      <c r="B3518">
        <v>2313013679</v>
      </c>
      <c r="C3518" t="str">
        <f>T("디버프 마스터 831화")</f>
        <v>디버프 마스터 831화</v>
      </c>
      <c r="D3518" t="str">
        <f>T("831")</f>
        <v>831</v>
      </c>
      <c r="E3518" t="str">
        <f t="shared" si="488"/>
        <v>담화공</v>
      </c>
      <c r="H3518" t="str">
        <f t="shared" si="492"/>
        <v>스토리위즈</v>
      </c>
      <c r="I3518" t="str">
        <f t="shared" si="489"/>
        <v>디버프 마스터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70</v>
      </c>
      <c r="AT3518" t="str">
        <f t="shared" si="490"/>
        <v>9791137602663</v>
      </c>
      <c r="AV3518" t="str">
        <f t="shared" si="491"/>
        <v>판타지 웹소설 &gt; 퓨전 판타지</v>
      </c>
    </row>
    <row r="3519" spans="1:48" x14ac:dyDescent="0.4">
      <c r="A3519">
        <v>2313012849</v>
      </c>
      <c r="B3519">
        <v>2313013680</v>
      </c>
      <c r="C3519" t="str">
        <f>T("디버프 마스터 832화")</f>
        <v>디버프 마스터 832화</v>
      </c>
      <c r="D3519" t="str">
        <f>T("832")</f>
        <v>832</v>
      </c>
      <c r="E3519" t="str">
        <f t="shared" si="488"/>
        <v>담화공</v>
      </c>
      <c r="H3519" t="str">
        <f t="shared" si="492"/>
        <v>스토리위즈</v>
      </c>
      <c r="I3519" t="str">
        <f t="shared" si="489"/>
        <v>디버프 마스터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70</v>
      </c>
      <c r="AT3519" t="str">
        <f t="shared" si="490"/>
        <v>9791137602663</v>
      </c>
      <c r="AV3519" t="str">
        <f t="shared" si="491"/>
        <v>판타지 웹소설 &gt; 퓨전 판타지</v>
      </c>
    </row>
    <row r="3520" spans="1:48" x14ac:dyDescent="0.4">
      <c r="A3520">
        <v>2313012849</v>
      </c>
      <c r="B3520">
        <v>2313013681</v>
      </c>
      <c r="C3520" t="str">
        <f>T("디버프 마스터 833화")</f>
        <v>디버프 마스터 833화</v>
      </c>
      <c r="D3520" t="str">
        <f>T("833")</f>
        <v>833</v>
      </c>
      <c r="E3520" t="str">
        <f t="shared" si="488"/>
        <v>담화공</v>
      </c>
      <c r="H3520" t="str">
        <f t="shared" si="492"/>
        <v>스토리위즈</v>
      </c>
      <c r="I3520" t="str">
        <f t="shared" si="489"/>
        <v>디버프 마스터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70</v>
      </c>
      <c r="AT3520" t="str">
        <f t="shared" si="490"/>
        <v>9791137602663</v>
      </c>
      <c r="AV3520" t="str">
        <f t="shared" si="491"/>
        <v>판타지 웹소설 &gt; 퓨전 판타지</v>
      </c>
    </row>
    <row r="3521" spans="1:48" x14ac:dyDescent="0.4">
      <c r="A3521">
        <v>2313012849</v>
      </c>
      <c r="B3521">
        <v>2313013682</v>
      </c>
      <c r="C3521" t="str">
        <f>T("디버프 마스터 834화")</f>
        <v>디버프 마스터 834화</v>
      </c>
      <c r="D3521" t="str">
        <f>T("834")</f>
        <v>834</v>
      </c>
      <c r="E3521" t="str">
        <f t="shared" si="488"/>
        <v>담화공</v>
      </c>
      <c r="H3521" t="str">
        <f t="shared" si="492"/>
        <v>스토리위즈</v>
      </c>
      <c r="I3521" t="str">
        <f t="shared" si="489"/>
        <v>디버프 마스터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70</v>
      </c>
      <c r="AT3521" t="str">
        <f t="shared" si="490"/>
        <v>9791137602663</v>
      </c>
      <c r="AV3521" t="str">
        <f t="shared" si="491"/>
        <v>판타지 웹소설 &gt; 퓨전 판타지</v>
      </c>
    </row>
    <row r="3522" spans="1:48" x14ac:dyDescent="0.4">
      <c r="A3522">
        <v>2313012849</v>
      </c>
      <c r="B3522">
        <v>2313013683</v>
      </c>
      <c r="C3522" t="str">
        <f>T("디버프 마스터 835화")</f>
        <v>디버프 마스터 835화</v>
      </c>
      <c r="D3522" t="str">
        <f>T("835")</f>
        <v>835</v>
      </c>
      <c r="E3522" t="str">
        <f t="shared" si="488"/>
        <v>담화공</v>
      </c>
      <c r="H3522" t="str">
        <f t="shared" si="492"/>
        <v>스토리위즈</v>
      </c>
      <c r="I3522" t="str">
        <f t="shared" si="489"/>
        <v>디버프 마스터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70</v>
      </c>
      <c r="AT3522" t="str">
        <f t="shared" si="490"/>
        <v>9791137602663</v>
      </c>
      <c r="AV3522" t="str">
        <f t="shared" si="491"/>
        <v>판타지 웹소설 &gt; 퓨전 판타지</v>
      </c>
    </row>
    <row r="3523" spans="1:48" x14ac:dyDescent="0.4">
      <c r="A3523">
        <v>2313012849</v>
      </c>
      <c r="B3523">
        <v>2313013684</v>
      </c>
      <c r="C3523" t="str">
        <f>T("디버프 마스터 836화")</f>
        <v>디버프 마스터 836화</v>
      </c>
      <c r="D3523" t="str">
        <f>T("836")</f>
        <v>836</v>
      </c>
      <c r="E3523" t="str">
        <f t="shared" si="488"/>
        <v>담화공</v>
      </c>
      <c r="H3523" t="str">
        <f t="shared" si="492"/>
        <v>스토리위즈</v>
      </c>
      <c r="I3523" t="str">
        <f t="shared" si="489"/>
        <v>디버프 마스터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70</v>
      </c>
      <c r="AT3523" t="str">
        <f t="shared" si="490"/>
        <v>9791137602663</v>
      </c>
      <c r="AV3523" t="str">
        <f t="shared" si="491"/>
        <v>판타지 웹소설 &gt; 퓨전 판타지</v>
      </c>
    </row>
    <row r="3524" spans="1:48" x14ac:dyDescent="0.4">
      <c r="A3524">
        <v>2313012849</v>
      </c>
      <c r="B3524">
        <v>2313013685</v>
      </c>
      <c r="C3524" t="str">
        <f>T("디버프 마스터 837화")</f>
        <v>디버프 마스터 837화</v>
      </c>
      <c r="D3524" t="str">
        <f>T("837")</f>
        <v>837</v>
      </c>
      <c r="E3524" t="str">
        <f t="shared" si="488"/>
        <v>담화공</v>
      </c>
      <c r="H3524" t="str">
        <f t="shared" si="492"/>
        <v>스토리위즈</v>
      </c>
      <c r="I3524" t="str">
        <f t="shared" si="489"/>
        <v>디버프 마스터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70</v>
      </c>
      <c r="AT3524" t="str">
        <f t="shared" si="490"/>
        <v>9791137602663</v>
      </c>
      <c r="AV3524" t="str">
        <f t="shared" si="491"/>
        <v>판타지 웹소설 &gt; 퓨전 판타지</v>
      </c>
    </row>
    <row r="3525" spans="1:48" x14ac:dyDescent="0.4">
      <c r="A3525">
        <v>2313012849</v>
      </c>
      <c r="B3525">
        <v>2313013686</v>
      </c>
      <c r="C3525" t="str">
        <f>T("디버프 마스터 838화")</f>
        <v>디버프 마스터 838화</v>
      </c>
      <c r="D3525" t="str">
        <f>T("838")</f>
        <v>838</v>
      </c>
      <c r="E3525" t="str">
        <f t="shared" si="488"/>
        <v>담화공</v>
      </c>
      <c r="H3525" t="str">
        <f t="shared" si="492"/>
        <v>스토리위즈</v>
      </c>
      <c r="I3525" t="str">
        <f t="shared" si="489"/>
        <v>디버프 마스터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70</v>
      </c>
      <c r="AT3525" t="str">
        <f t="shared" si="490"/>
        <v>9791137602663</v>
      </c>
      <c r="AV3525" t="str">
        <f t="shared" si="491"/>
        <v>판타지 웹소설 &gt; 퓨전 판타지</v>
      </c>
    </row>
    <row r="3526" spans="1:48" x14ac:dyDescent="0.4">
      <c r="A3526">
        <v>2313012849</v>
      </c>
      <c r="B3526">
        <v>2313013687</v>
      </c>
      <c r="C3526" t="str">
        <f>T("디버프 마스터 839화")</f>
        <v>디버프 마스터 839화</v>
      </c>
      <c r="D3526" t="str">
        <f>T("839")</f>
        <v>839</v>
      </c>
      <c r="E3526" t="str">
        <f t="shared" si="488"/>
        <v>담화공</v>
      </c>
      <c r="H3526" t="str">
        <f t="shared" si="492"/>
        <v>스토리위즈</v>
      </c>
      <c r="I3526" t="str">
        <f t="shared" si="489"/>
        <v>디버프 마스터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70</v>
      </c>
      <c r="AT3526" t="str">
        <f t="shared" si="490"/>
        <v>9791137602663</v>
      </c>
      <c r="AV3526" t="str">
        <f t="shared" si="491"/>
        <v>판타지 웹소설 &gt; 퓨전 판타지</v>
      </c>
    </row>
    <row r="3527" spans="1:48" x14ac:dyDescent="0.4">
      <c r="A3527">
        <v>2313012849</v>
      </c>
      <c r="B3527">
        <v>2313013688</v>
      </c>
      <c r="C3527" t="str">
        <f>T("디버프 마스터 840화")</f>
        <v>디버프 마스터 840화</v>
      </c>
      <c r="D3527" t="str">
        <f>T("840")</f>
        <v>840</v>
      </c>
      <c r="E3527" t="str">
        <f t="shared" si="488"/>
        <v>담화공</v>
      </c>
      <c r="H3527" t="str">
        <f t="shared" si="492"/>
        <v>스토리위즈</v>
      </c>
      <c r="I3527" t="str">
        <f t="shared" si="489"/>
        <v>디버프 마스터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70</v>
      </c>
      <c r="AT3527" t="str">
        <f t="shared" si="490"/>
        <v>9791137602663</v>
      </c>
      <c r="AV3527" t="str">
        <f t="shared" si="491"/>
        <v>판타지 웹소설 &gt; 퓨전 판타지</v>
      </c>
    </row>
    <row r="3528" spans="1:48" x14ac:dyDescent="0.4">
      <c r="A3528">
        <v>2313012849</v>
      </c>
      <c r="B3528">
        <v>2313013689</v>
      </c>
      <c r="C3528" t="str">
        <f>T("디버프 마스터 841화")</f>
        <v>디버프 마스터 841화</v>
      </c>
      <c r="D3528" t="str">
        <f>T("841")</f>
        <v>841</v>
      </c>
      <c r="E3528" t="str">
        <f t="shared" ref="E3528:E3591" si="493">T("담화공")</f>
        <v>담화공</v>
      </c>
      <c r="H3528" t="str">
        <f t="shared" si="492"/>
        <v>스토리위즈</v>
      </c>
      <c r="I3528" t="str">
        <f t="shared" ref="I3528:I3591" si="494">T("디버프 마스터")</f>
        <v>디버프 마스터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70</v>
      </c>
      <c r="AT3528" t="str">
        <f t="shared" ref="AT3528:AT3591" si="495">T("9791137602663")</f>
        <v>9791137602663</v>
      </c>
      <c r="AV3528" t="str">
        <f t="shared" ref="AV3528:AV3591" si="496">T("판타지 웹소설 &gt; 퓨전 판타지")</f>
        <v>판타지 웹소설 &gt; 퓨전 판타지</v>
      </c>
    </row>
    <row r="3529" spans="1:48" x14ac:dyDescent="0.4">
      <c r="A3529">
        <v>2313012849</v>
      </c>
      <c r="B3529">
        <v>2313013690</v>
      </c>
      <c r="C3529" t="str">
        <f>T("디버프 마스터 842화")</f>
        <v>디버프 마스터 842화</v>
      </c>
      <c r="D3529" t="str">
        <f>T("842")</f>
        <v>842</v>
      </c>
      <c r="E3529" t="str">
        <f t="shared" si="493"/>
        <v>담화공</v>
      </c>
      <c r="H3529" t="str">
        <f t="shared" si="492"/>
        <v>스토리위즈</v>
      </c>
      <c r="I3529" t="str">
        <f t="shared" si="494"/>
        <v>디버프 마스터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70</v>
      </c>
      <c r="AT3529" t="str">
        <f t="shared" si="495"/>
        <v>9791137602663</v>
      </c>
      <c r="AV3529" t="str">
        <f t="shared" si="496"/>
        <v>판타지 웹소설 &gt; 퓨전 판타지</v>
      </c>
    </row>
    <row r="3530" spans="1:48" x14ac:dyDescent="0.4">
      <c r="A3530">
        <v>2313012849</v>
      </c>
      <c r="B3530">
        <v>2313013691</v>
      </c>
      <c r="C3530" t="str">
        <f>T("디버프 마스터 843화")</f>
        <v>디버프 마스터 843화</v>
      </c>
      <c r="D3530" t="str">
        <f>T("843")</f>
        <v>843</v>
      </c>
      <c r="E3530" t="str">
        <f t="shared" si="493"/>
        <v>담화공</v>
      </c>
      <c r="H3530" t="str">
        <f t="shared" si="492"/>
        <v>스토리위즈</v>
      </c>
      <c r="I3530" t="str">
        <f t="shared" si="494"/>
        <v>디버프 마스터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70</v>
      </c>
      <c r="AT3530" t="str">
        <f t="shared" si="495"/>
        <v>9791137602663</v>
      </c>
      <c r="AV3530" t="str">
        <f t="shared" si="496"/>
        <v>판타지 웹소설 &gt; 퓨전 판타지</v>
      </c>
    </row>
    <row r="3531" spans="1:48" x14ac:dyDescent="0.4">
      <c r="A3531">
        <v>2313012849</v>
      </c>
      <c r="B3531">
        <v>2313013692</v>
      </c>
      <c r="C3531" t="str">
        <f>T("디버프 마스터 844화")</f>
        <v>디버프 마스터 844화</v>
      </c>
      <c r="D3531" t="str">
        <f>T("844")</f>
        <v>844</v>
      </c>
      <c r="E3531" t="str">
        <f t="shared" si="493"/>
        <v>담화공</v>
      </c>
      <c r="H3531" t="str">
        <f t="shared" si="492"/>
        <v>스토리위즈</v>
      </c>
      <c r="I3531" t="str">
        <f t="shared" si="494"/>
        <v>디버프 마스터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70</v>
      </c>
      <c r="AT3531" t="str">
        <f t="shared" si="495"/>
        <v>9791137602663</v>
      </c>
      <c r="AV3531" t="str">
        <f t="shared" si="496"/>
        <v>판타지 웹소설 &gt; 퓨전 판타지</v>
      </c>
    </row>
    <row r="3532" spans="1:48" x14ac:dyDescent="0.4">
      <c r="A3532">
        <v>2313012849</v>
      </c>
      <c r="B3532">
        <v>2313013693</v>
      </c>
      <c r="C3532" t="str">
        <f>T("디버프 마스터 845화")</f>
        <v>디버프 마스터 845화</v>
      </c>
      <c r="D3532" t="str">
        <f>T("845")</f>
        <v>845</v>
      </c>
      <c r="E3532" t="str">
        <f t="shared" si="493"/>
        <v>담화공</v>
      </c>
      <c r="H3532" t="str">
        <f t="shared" si="492"/>
        <v>스토리위즈</v>
      </c>
      <c r="I3532" t="str">
        <f t="shared" si="494"/>
        <v>디버프 마스터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70</v>
      </c>
      <c r="AT3532" t="str">
        <f t="shared" si="495"/>
        <v>9791137602663</v>
      </c>
      <c r="AV3532" t="str">
        <f t="shared" si="496"/>
        <v>판타지 웹소설 &gt; 퓨전 판타지</v>
      </c>
    </row>
    <row r="3533" spans="1:48" x14ac:dyDescent="0.4">
      <c r="A3533">
        <v>2313012849</v>
      </c>
      <c r="B3533">
        <v>2313013694</v>
      </c>
      <c r="C3533" t="str">
        <f>T("디버프 마스터 846화")</f>
        <v>디버프 마스터 846화</v>
      </c>
      <c r="D3533" t="str">
        <f>T("846")</f>
        <v>846</v>
      </c>
      <c r="E3533" t="str">
        <f t="shared" si="493"/>
        <v>담화공</v>
      </c>
      <c r="H3533" t="str">
        <f t="shared" si="492"/>
        <v>스토리위즈</v>
      </c>
      <c r="I3533" t="str">
        <f t="shared" si="494"/>
        <v>디버프 마스터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70</v>
      </c>
      <c r="AT3533" t="str">
        <f t="shared" si="495"/>
        <v>9791137602663</v>
      </c>
      <c r="AV3533" t="str">
        <f t="shared" si="496"/>
        <v>판타지 웹소설 &gt; 퓨전 판타지</v>
      </c>
    </row>
    <row r="3534" spans="1:48" x14ac:dyDescent="0.4">
      <c r="A3534">
        <v>2313012849</v>
      </c>
      <c r="B3534">
        <v>2313013695</v>
      </c>
      <c r="C3534" t="str">
        <f>T("디버프 마스터 847화")</f>
        <v>디버프 마스터 847화</v>
      </c>
      <c r="D3534" t="str">
        <f>T("847")</f>
        <v>847</v>
      </c>
      <c r="E3534" t="str">
        <f t="shared" si="493"/>
        <v>담화공</v>
      </c>
      <c r="H3534" t="str">
        <f t="shared" si="492"/>
        <v>스토리위즈</v>
      </c>
      <c r="I3534" t="str">
        <f t="shared" si="494"/>
        <v>디버프 마스터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70</v>
      </c>
      <c r="AT3534" t="str">
        <f t="shared" si="495"/>
        <v>9791137602663</v>
      </c>
      <c r="AV3534" t="str">
        <f t="shared" si="496"/>
        <v>판타지 웹소설 &gt; 퓨전 판타지</v>
      </c>
    </row>
    <row r="3535" spans="1:48" x14ac:dyDescent="0.4">
      <c r="A3535">
        <v>2313012849</v>
      </c>
      <c r="B3535">
        <v>2313013696</v>
      </c>
      <c r="C3535" t="str">
        <f>T("디버프 마스터 848화")</f>
        <v>디버프 마스터 848화</v>
      </c>
      <c r="D3535" t="str">
        <f>T("848")</f>
        <v>848</v>
      </c>
      <c r="E3535" t="str">
        <f t="shared" si="493"/>
        <v>담화공</v>
      </c>
      <c r="H3535" t="str">
        <f t="shared" si="492"/>
        <v>스토리위즈</v>
      </c>
      <c r="I3535" t="str">
        <f t="shared" si="494"/>
        <v>디버프 마스터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70</v>
      </c>
      <c r="AT3535" t="str">
        <f t="shared" si="495"/>
        <v>9791137602663</v>
      </c>
      <c r="AV3535" t="str">
        <f t="shared" si="496"/>
        <v>판타지 웹소설 &gt; 퓨전 판타지</v>
      </c>
    </row>
    <row r="3536" spans="1:48" x14ac:dyDescent="0.4">
      <c r="A3536">
        <v>2313012849</v>
      </c>
      <c r="B3536">
        <v>2313013697</v>
      </c>
      <c r="C3536" t="str">
        <f>T("디버프 마스터 849화")</f>
        <v>디버프 마스터 849화</v>
      </c>
      <c r="D3536" t="str">
        <f>T("849")</f>
        <v>849</v>
      </c>
      <c r="E3536" t="str">
        <f t="shared" si="493"/>
        <v>담화공</v>
      </c>
      <c r="H3536" t="str">
        <f t="shared" si="492"/>
        <v>스토리위즈</v>
      </c>
      <c r="I3536" t="str">
        <f t="shared" si="494"/>
        <v>디버프 마스터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70</v>
      </c>
      <c r="AT3536" t="str">
        <f t="shared" si="495"/>
        <v>9791137602663</v>
      </c>
      <c r="AV3536" t="str">
        <f t="shared" si="496"/>
        <v>판타지 웹소설 &gt; 퓨전 판타지</v>
      </c>
    </row>
    <row r="3537" spans="1:48" x14ac:dyDescent="0.4">
      <c r="A3537">
        <v>2313012849</v>
      </c>
      <c r="B3537">
        <v>2313013698</v>
      </c>
      <c r="C3537" t="str">
        <f>T("디버프 마스터 850화")</f>
        <v>디버프 마스터 850화</v>
      </c>
      <c r="D3537" t="str">
        <f>T("850")</f>
        <v>850</v>
      </c>
      <c r="E3537" t="str">
        <f t="shared" si="493"/>
        <v>담화공</v>
      </c>
      <c r="H3537" t="str">
        <f t="shared" si="492"/>
        <v>스토리위즈</v>
      </c>
      <c r="I3537" t="str">
        <f t="shared" si="494"/>
        <v>디버프 마스터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70</v>
      </c>
      <c r="AT3537" t="str">
        <f t="shared" si="495"/>
        <v>9791137602663</v>
      </c>
      <c r="AV3537" t="str">
        <f t="shared" si="496"/>
        <v>판타지 웹소설 &gt; 퓨전 판타지</v>
      </c>
    </row>
    <row r="3538" spans="1:48" x14ac:dyDescent="0.4">
      <c r="A3538">
        <v>2313012849</v>
      </c>
      <c r="B3538">
        <v>2313013699</v>
      </c>
      <c r="C3538" t="str">
        <f>T("디버프 마스터 851화")</f>
        <v>디버프 마스터 851화</v>
      </c>
      <c r="D3538" t="str">
        <f>T("851")</f>
        <v>851</v>
      </c>
      <c r="E3538" t="str">
        <f t="shared" si="493"/>
        <v>담화공</v>
      </c>
      <c r="H3538" t="str">
        <f t="shared" si="492"/>
        <v>스토리위즈</v>
      </c>
      <c r="I3538" t="str">
        <f t="shared" si="494"/>
        <v>디버프 마스터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70</v>
      </c>
      <c r="AT3538" t="str">
        <f t="shared" si="495"/>
        <v>9791137602663</v>
      </c>
      <c r="AV3538" t="str">
        <f t="shared" si="496"/>
        <v>판타지 웹소설 &gt; 퓨전 판타지</v>
      </c>
    </row>
    <row r="3539" spans="1:48" x14ac:dyDescent="0.4">
      <c r="A3539">
        <v>2313012849</v>
      </c>
      <c r="B3539">
        <v>2313013700</v>
      </c>
      <c r="C3539" t="str">
        <f>T("디버프 마스터 852화")</f>
        <v>디버프 마스터 852화</v>
      </c>
      <c r="D3539" t="str">
        <f>T("852")</f>
        <v>852</v>
      </c>
      <c r="E3539" t="str">
        <f t="shared" si="493"/>
        <v>담화공</v>
      </c>
      <c r="H3539" t="str">
        <f t="shared" si="492"/>
        <v>스토리위즈</v>
      </c>
      <c r="I3539" t="str">
        <f t="shared" si="494"/>
        <v>디버프 마스터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70</v>
      </c>
      <c r="AT3539" t="str">
        <f t="shared" si="495"/>
        <v>9791137602663</v>
      </c>
      <c r="AV3539" t="str">
        <f t="shared" si="496"/>
        <v>판타지 웹소설 &gt; 퓨전 판타지</v>
      </c>
    </row>
    <row r="3540" spans="1:48" x14ac:dyDescent="0.4">
      <c r="A3540">
        <v>2313012849</v>
      </c>
      <c r="B3540">
        <v>2313013701</v>
      </c>
      <c r="C3540" t="str">
        <f>T("디버프 마스터 853화")</f>
        <v>디버프 마스터 853화</v>
      </c>
      <c r="D3540" t="str">
        <f>T("853")</f>
        <v>853</v>
      </c>
      <c r="E3540" t="str">
        <f t="shared" si="493"/>
        <v>담화공</v>
      </c>
      <c r="H3540" t="str">
        <f t="shared" si="492"/>
        <v>스토리위즈</v>
      </c>
      <c r="I3540" t="str">
        <f t="shared" si="494"/>
        <v>디버프 마스터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70</v>
      </c>
      <c r="AT3540" t="str">
        <f t="shared" si="495"/>
        <v>9791137602663</v>
      </c>
      <c r="AV3540" t="str">
        <f t="shared" si="496"/>
        <v>판타지 웹소설 &gt; 퓨전 판타지</v>
      </c>
    </row>
    <row r="3541" spans="1:48" x14ac:dyDescent="0.4">
      <c r="A3541">
        <v>2313012849</v>
      </c>
      <c r="B3541">
        <v>2313013702</v>
      </c>
      <c r="C3541" t="str">
        <f>T("디버프 마스터 854화")</f>
        <v>디버프 마스터 854화</v>
      </c>
      <c r="D3541" t="str">
        <f>T("854")</f>
        <v>854</v>
      </c>
      <c r="E3541" t="str">
        <f t="shared" si="493"/>
        <v>담화공</v>
      </c>
      <c r="H3541" t="str">
        <f t="shared" si="492"/>
        <v>스토리위즈</v>
      </c>
      <c r="I3541" t="str">
        <f t="shared" si="494"/>
        <v>디버프 마스터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70</v>
      </c>
      <c r="AT3541" t="str">
        <f t="shared" si="495"/>
        <v>9791137602663</v>
      </c>
      <c r="AV3541" t="str">
        <f t="shared" si="496"/>
        <v>판타지 웹소설 &gt; 퓨전 판타지</v>
      </c>
    </row>
    <row r="3542" spans="1:48" x14ac:dyDescent="0.4">
      <c r="A3542">
        <v>2313012849</v>
      </c>
      <c r="B3542">
        <v>2313013703</v>
      </c>
      <c r="C3542" t="str">
        <f>T("디버프 마스터 855화")</f>
        <v>디버프 마스터 855화</v>
      </c>
      <c r="D3542" t="str">
        <f>T("855")</f>
        <v>855</v>
      </c>
      <c r="E3542" t="str">
        <f t="shared" si="493"/>
        <v>담화공</v>
      </c>
      <c r="H3542" t="str">
        <f t="shared" si="492"/>
        <v>스토리위즈</v>
      </c>
      <c r="I3542" t="str">
        <f t="shared" si="494"/>
        <v>디버프 마스터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70</v>
      </c>
      <c r="AT3542" t="str">
        <f t="shared" si="495"/>
        <v>9791137602663</v>
      </c>
      <c r="AV3542" t="str">
        <f t="shared" si="496"/>
        <v>판타지 웹소설 &gt; 퓨전 판타지</v>
      </c>
    </row>
    <row r="3543" spans="1:48" x14ac:dyDescent="0.4">
      <c r="A3543">
        <v>2313012849</v>
      </c>
      <c r="B3543">
        <v>2313013704</v>
      </c>
      <c r="C3543" t="str">
        <f>T("디버프 마스터 856화")</f>
        <v>디버프 마스터 856화</v>
      </c>
      <c r="D3543" t="str">
        <f>T("856")</f>
        <v>856</v>
      </c>
      <c r="E3543" t="str">
        <f t="shared" si="493"/>
        <v>담화공</v>
      </c>
      <c r="H3543" t="str">
        <f t="shared" si="492"/>
        <v>스토리위즈</v>
      </c>
      <c r="I3543" t="str">
        <f t="shared" si="494"/>
        <v>디버프 마스터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70</v>
      </c>
      <c r="AT3543" t="str">
        <f t="shared" si="495"/>
        <v>9791137602663</v>
      </c>
      <c r="AV3543" t="str">
        <f t="shared" si="496"/>
        <v>판타지 웹소설 &gt; 퓨전 판타지</v>
      </c>
    </row>
    <row r="3544" spans="1:48" x14ac:dyDescent="0.4">
      <c r="A3544">
        <v>2313012849</v>
      </c>
      <c r="B3544">
        <v>2313013705</v>
      </c>
      <c r="C3544" t="str">
        <f>T("디버프 마스터 857화")</f>
        <v>디버프 마스터 857화</v>
      </c>
      <c r="D3544" t="str">
        <f>T("857")</f>
        <v>857</v>
      </c>
      <c r="E3544" t="str">
        <f t="shared" si="493"/>
        <v>담화공</v>
      </c>
      <c r="H3544" t="str">
        <f t="shared" si="492"/>
        <v>스토리위즈</v>
      </c>
      <c r="I3544" t="str">
        <f t="shared" si="494"/>
        <v>디버프 마스터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70</v>
      </c>
      <c r="AT3544" t="str">
        <f t="shared" si="495"/>
        <v>9791137602663</v>
      </c>
      <c r="AV3544" t="str">
        <f t="shared" si="496"/>
        <v>판타지 웹소설 &gt; 퓨전 판타지</v>
      </c>
    </row>
    <row r="3545" spans="1:48" x14ac:dyDescent="0.4">
      <c r="A3545">
        <v>2313012849</v>
      </c>
      <c r="B3545">
        <v>2313013706</v>
      </c>
      <c r="C3545" t="str">
        <f>T("디버프 마스터 858화")</f>
        <v>디버프 마스터 858화</v>
      </c>
      <c r="D3545" t="str">
        <f>T("858")</f>
        <v>858</v>
      </c>
      <c r="E3545" t="str">
        <f t="shared" si="493"/>
        <v>담화공</v>
      </c>
      <c r="H3545" t="str">
        <f t="shared" si="492"/>
        <v>스토리위즈</v>
      </c>
      <c r="I3545" t="str">
        <f t="shared" si="494"/>
        <v>디버프 마스터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70</v>
      </c>
      <c r="AT3545" t="str">
        <f t="shared" si="495"/>
        <v>9791137602663</v>
      </c>
      <c r="AV3545" t="str">
        <f t="shared" si="496"/>
        <v>판타지 웹소설 &gt; 퓨전 판타지</v>
      </c>
    </row>
    <row r="3546" spans="1:48" x14ac:dyDescent="0.4">
      <c r="A3546">
        <v>2313012849</v>
      </c>
      <c r="B3546">
        <v>2313013707</v>
      </c>
      <c r="C3546" t="str">
        <f>T("디버프 마스터 859화")</f>
        <v>디버프 마스터 859화</v>
      </c>
      <c r="D3546" t="str">
        <f>T("859")</f>
        <v>859</v>
      </c>
      <c r="E3546" t="str">
        <f t="shared" si="493"/>
        <v>담화공</v>
      </c>
      <c r="H3546" t="str">
        <f t="shared" si="492"/>
        <v>스토리위즈</v>
      </c>
      <c r="I3546" t="str">
        <f t="shared" si="494"/>
        <v>디버프 마스터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70</v>
      </c>
      <c r="AT3546" t="str">
        <f t="shared" si="495"/>
        <v>9791137602663</v>
      </c>
      <c r="AV3546" t="str">
        <f t="shared" si="496"/>
        <v>판타지 웹소설 &gt; 퓨전 판타지</v>
      </c>
    </row>
    <row r="3547" spans="1:48" x14ac:dyDescent="0.4">
      <c r="A3547">
        <v>2313012849</v>
      </c>
      <c r="B3547">
        <v>2313013708</v>
      </c>
      <c r="C3547" t="str">
        <f>T("디버프 마스터 860화")</f>
        <v>디버프 마스터 860화</v>
      </c>
      <c r="D3547" t="str">
        <f>T("860")</f>
        <v>860</v>
      </c>
      <c r="E3547" t="str">
        <f t="shared" si="493"/>
        <v>담화공</v>
      </c>
      <c r="H3547" t="str">
        <f t="shared" si="492"/>
        <v>스토리위즈</v>
      </c>
      <c r="I3547" t="str">
        <f t="shared" si="494"/>
        <v>디버프 마스터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70</v>
      </c>
      <c r="AT3547" t="str">
        <f t="shared" si="495"/>
        <v>9791137602663</v>
      </c>
      <c r="AV3547" t="str">
        <f t="shared" si="496"/>
        <v>판타지 웹소설 &gt; 퓨전 판타지</v>
      </c>
    </row>
    <row r="3548" spans="1:48" x14ac:dyDescent="0.4">
      <c r="A3548">
        <v>2313012849</v>
      </c>
      <c r="B3548">
        <v>2313013709</v>
      </c>
      <c r="C3548" t="str">
        <f>T("디버프 마스터 861화")</f>
        <v>디버프 마스터 861화</v>
      </c>
      <c r="D3548" t="str">
        <f>T("861")</f>
        <v>861</v>
      </c>
      <c r="E3548" t="str">
        <f t="shared" si="493"/>
        <v>담화공</v>
      </c>
      <c r="H3548" t="str">
        <f t="shared" si="492"/>
        <v>스토리위즈</v>
      </c>
      <c r="I3548" t="str">
        <f t="shared" si="494"/>
        <v>디버프 마스터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70</v>
      </c>
      <c r="AT3548" t="str">
        <f t="shared" si="495"/>
        <v>9791137602663</v>
      </c>
      <c r="AV3548" t="str">
        <f t="shared" si="496"/>
        <v>판타지 웹소설 &gt; 퓨전 판타지</v>
      </c>
    </row>
    <row r="3549" spans="1:48" x14ac:dyDescent="0.4">
      <c r="A3549">
        <v>2313012849</v>
      </c>
      <c r="B3549">
        <v>2313013710</v>
      </c>
      <c r="C3549" t="str">
        <f>T("디버프 마스터 862화")</f>
        <v>디버프 마스터 862화</v>
      </c>
      <c r="D3549" t="str">
        <f>T("862")</f>
        <v>862</v>
      </c>
      <c r="E3549" t="str">
        <f t="shared" si="493"/>
        <v>담화공</v>
      </c>
      <c r="H3549" t="str">
        <f t="shared" si="492"/>
        <v>스토리위즈</v>
      </c>
      <c r="I3549" t="str">
        <f t="shared" si="494"/>
        <v>디버프 마스터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70</v>
      </c>
      <c r="AT3549" t="str">
        <f t="shared" si="495"/>
        <v>9791137602663</v>
      </c>
      <c r="AV3549" t="str">
        <f t="shared" si="496"/>
        <v>판타지 웹소설 &gt; 퓨전 판타지</v>
      </c>
    </row>
    <row r="3550" spans="1:48" x14ac:dyDescent="0.4">
      <c r="A3550">
        <v>2313012849</v>
      </c>
      <c r="B3550">
        <v>2313013711</v>
      </c>
      <c r="C3550" t="str">
        <f>T("디버프 마스터 863화")</f>
        <v>디버프 마스터 863화</v>
      </c>
      <c r="D3550" t="str">
        <f>T("863")</f>
        <v>863</v>
      </c>
      <c r="E3550" t="str">
        <f t="shared" si="493"/>
        <v>담화공</v>
      </c>
      <c r="H3550" t="str">
        <f t="shared" si="492"/>
        <v>스토리위즈</v>
      </c>
      <c r="I3550" t="str">
        <f t="shared" si="494"/>
        <v>디버프 마스터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70</v>
      </c>
      <c r="AT3550" t="str">
        <f t="shared" si="495"/>
        <v>9791137602663</v>
      </c>
      <c r="AV3550" t="str">
        <f t="shared" si="496"/>
        <v>판타지 웹소설 &gt; 퓨전 판타지</v>
      </c>
    </row>
    <row r="3551" spans="1:48" x14ac:dyDescent="0.4">
      <c r="A3551">
        <v>2313012849</v>
      </c>
      <c r="B3551">
        <v>2313013712</v>
      </c>
      <c r="C3551" t="str">
        <f>T("디버프 마스터 864화")</f>
        <v>디버프 마스터 864화</v>
      </c>
      <c r="D3551" t="str">
        <f>T("864")</f>
        <v>864</v>
      </c>
      <c r="E3551" t="str">
        <f t="shared" si="493"/>
        <v>담화공</v>
      </c>
      <c r="H3551" t="str">
        <f t="shared" si="492"/>
        <v>스토리위즈</v>
      </c>
      <c r="I3551" t="str">
        <f t="shared" si="494"/>
        <v>디버프 마스터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70</v>
      </c>
      <c r="AT3551" t="str">
        <f t="shared" si="495"/>
        <v>9791137602663</v>
      </c>
      <c r="AV3551" t="str">
        <f t="shared" si="496"/>
        <v>판타지 웹소설 &gt; 퓨전 판타지</v>
      </c>
    </row>
    <row r="3552" spans="1:48" x14ac:dyDescent="0.4">
      <c r="A3552">
        <v>2313012849</v>
      </c>
      <c r="B3552">
        <v>2313013713</v>
      </c>
      <c r="C3552" t="str">
        <f>T("디버프 마스터 865화")</f>
        <v>디버프 마스터 865화</v>
      </c>
      <c r="D3552" t="str">
        <f>T("865")</f>
        <v>865</v>
      </c>
      <c r="E3552" t="str">
        <f t="shared" si="493"/>
        <v>담화공</v>
      </c>
      <c r="H3552" t="str">
        <f t="shared" si="492"/>
        <v>스토리위즈</v>
      </c>
      <c r="I3552" t="str">
        <f t="shared" si="494"/>
        <v>디버프 마스터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70</v>
      </c>
      <c r="AT3552" t="str">
        <f t="shared" si="495"/>
        <v>9791137602663</v>
      </c>
      <c r="AV3552" t="str">
        <f t="shared" si="496"/>
        <v>판타지 웹소설 &gt; 퓨전 판타지</v>
      </c>
    </row>
    <row r="3553" spans="1:48" x14ac:dyDescent="0.4">
      <c r="A3553">
        <v>2313012849</v>
      </c>
      <c r="B3553">
        <v>2313013714</v>
      </c>
      <c r="C3553" t="str">
        <f>T("디버프 마스터 866화")</f>
        <v>디버프 마스터 866화</v>
      </c>
      <c r="D3553" t="str">
        <f>T("866")</f>
        <v>866</v>
      </c>
      <c r="E3553" t="str">
        <f t="shared" si="493"/>
        <v>담화공</v>
      </c>
      <c r="H3553" t="str">
        <f t="shared" si="492"/>
        <v>스토리위즈</v>
      </c>
      <c r="I3553" t="str">
        <f t="shared" si="494"/>
        <v>디버프 마스터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70</v>
      </c>
      <c r="AT3553" t="str">
        <f t="shared" si="495"/>
        <v>9791137602663</v>
      </c>
      <c r="AV3553" t="str">
        <f t="shared" si="496"/>
        <v>판타지 웹소설 &gt; 퓨전 판타지</v>
      </c>
    </row>
    <row r="3554" spans="1:48" x14ac:dyDescent="0.4">
      <c r="A3554">
        <v>2313012849</v>
      </c>
      <c r="B3554">
        <v>2313013715</v>
      </c>
      <c r="C3554" t="str">
        <f>T("디버프 마스터 867화")</f>
        <v>디버프 마스터 867화</v>
      </c>
      <c r="D3554" t="str">
        <f>T("867")</f>
        <v>867</v>
      </c>
      <c r="E3554" t="str">
        <f t="shared" si="493"/>
        <v>담화공</v>
      </c>
      <c r="H3554" t="str">
        <f t="shared" si="492"/>
        <v>스토리위즈</v>
      </c>
      <c r="I3554" t="str">
        <f t="shared" si="494"/>
        <v>디버프 마스터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70</v>
      </c>
      <c r="AT3554" t="str">
        <f t="shared" si="495"/>
        <v>9791137602663</v>
      </c>
      <c r="AV3554" t="str">
        <f t="shared" si="496"/>
        <v>판타지 웹소설 &gt; 퓨전 판타지</v>
      </c>
    </row>
    <row r="3555" spans="1:48" x14ac:dyDescent="0.4">
      <c r="A3555">
        <v>2313012849</v>
      </c>
      <c r="B3555">
        <v>2313013716</v>
      </c>
      <c r="C3555" t="str">
        <f>T("디버프 마스터 868화")</f>
        <v>디버프 마스터 868화</v>
      </c>
      <c r="D3555" t="str">
        <f>T("868")</f>
        <v>868</v>
      </c>
      <c r="E3555" t="str">
        <f t="shared" si="493"/>
        <v>담화공</v>
      </c>
      <c r="H3555" t="str">
        <f t="shared" si="492"/>
        <v>스토리위즈</v>
      </c>
      <c r="I3555" t="str">
        <f t="shared" si="494"/>
        <v>디버프 마스터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70</v>
      </c>
      <c r="AT3555" t="str">
        <f t="shared" si="495"/>
        <v>9791137602663</v>
      </c>
      <c r="AV3555" t="str">
        <f t="shared" si="496"/>
        <v>판타지 웹소설 &gt; 퓨전 판타지</v>
      </c>
    </row>
    <row r="3556" spans="1:48" x14ac:dyDescent="0.4">
      <c r="A3556">
        <v>2313012849</v>
      </c>
      <c r="B3556">
        <v>2313013717</v>
      </c>
      <c r="C3556" t="str">
        <f>T("디버프 마스터 869화")</f>
        <v>디버프 마스터 869화</v>
      </c>
      <c r="D3556" t="str">
        <f>T("869")</f>
        <v>869</v>
      </c>
      <c r="E3556" t="str">
        <f t="shared" si="493"/>
        <v>담화공</v>
      </c>
      <c r="H3556" t="str">
        <f t="shared" si="492"/>
        <v>스토리위즈</v>
      </c>
      <c r="I3556" t="str">
        <f t="shared" si="494"/>
        <v>디버프 마스터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70</v>
      </c>
      <c r="AT3556" t="str">
        <f t="shared" si="495"/>
        <v>9791137602663</v>
      </c>
      <c r="AV3556" t="str">
        <f t="shared" si="496"/>
        <v>판타지 웹소설 &gt; 퓨전 판타지</v>
      </c>
    </row>
    <row r="3557" spans="1:48" x14ac:dyDescent="0.4">
      <c r="A3557">
        <v>2313012849</v>
      </c>
      <c r="B3557">
        <v>2313013718</v>
      </c>
      <c r="C3557" t="str">
        <f>T("디버프 마스터 870화")</f>
        <v>디버프 마스터 870화</v>
      </c>
      <c r="D3557" t="str">
        <f>T("870")</f>
        <v>870</v>
      </c>
      <c r="E3557" t="str">
        <f t="shared" si="493"/>
        <v>담화공</v>
      </c>
      <c r="H3557" t="str">
        <f t="shared" si="492"/>
        <v>스토리위즈</v>
      </c>
      <c r="I3557" t="str">
        <f t="shared" si="494"/>
        <v>디버프 마스터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70</v>
      </c>
      <c r="AT3557" t="str">
        <f t="shared" si="495"/>
        <v>9791137602663</v>
      </c>
      <c r="AV3557" t="str">
        <f t="shared" si="496"/>
        <v>판타지 웹소설 &gt; 퓨전 판타지</v>
      </c>
    </row>
    <row r="3558" spans="1:48" x14ac:dyDescent="0.4">
      <c r="A3558">
        <v>2313012849</v>
      </c>
      <c r="B3558">
        <v>2313013719</v>
      </c>
      <c r="C3558" t="str">
        <f>T("디버프 마스터 871화")</f>
        <v>디버프 마스터 871화</v>
      </c>
      <c r="D3558" t="str">
        <f>T("871")</f>
        <v>871</v>
      </c>
      <c r="E3558" t="str">
        <f t="shared" si="493"/>
        <v>담화공</v>
      </c>
      <c r="H3558" t="str">
        <f t="shared" si="492"/>
        <v>스토리위즈</v>
      </c>
      <c r="I3558" t="str">
        <f t="shared" si="494"/>
        <v>디버프 마스터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70</v>
      </c>
      <c r="AT3558" t="str">
        <f t="shared" si="495"/>
        <v>9791137602663</v>
      </c>
      <c r="AV3558" t="str">
        <f t="shared" si="496"/>
        <v>판타지 웹소설 &gt; 퓨전 판타지</v>
      </c>
    </row>
    <row r="3559" spans="1:48" x14ac:dyDescent="0.4">
      <c r="A3559">
        <v>2313012849</v>
      </c>
      <c r="B3559">
        <v>2313013720</v>
      </c>
      <c r="C3559" t="str">
        <f>T("디버프 마스터 872화")</f>
        <v>디버프 마스터 872화</v>
      </c>
      <c r="D3559" t="str">
        <f>T("872")</f>
        <v>872</v>
      </c>
      <c r="E3559" t="str">
        <f t="shared" si="493"/>
        <v>담화공</v>
      </c>
      <c r="H3559" t="str">
        <f t="shared" si="492"/>
        <v>스토리위즈</v>
      </c>
      <c r="I3559" t="str">
        <f t="shared" si="494"/>
        <v>디버프 마스터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70</v>
      </c>
      <c r="AT3559" t="str">
        <f t="shared" si="495"/>
        <v>9791137602663</v>
      </c>
      <c r="AV3559" t="str">
        <f t="shared" si="496"/>
        <v>판타지 웹소설 &gt; 퓨전 판타지</v>
      </c>
    </row>
    <row r="3560" spans="1:48" x14ac:dyDescent="0.4">
      <c r="A3560">
        <v>2313012849</v>
      </c>
      <c r="B3560">
        <v>2313013721</v>
      </c>
      <c r="C3560" t="str">
        <f>T("디버프 마스터 873화")</f>
        <v>디버프 마스터 873화</v>
      </c>
      <c r="D3560" t="str">
        <f>T("873")</f>
        <v>873</v>
      </c>
      <c r="E3560" t="str">
        <f t="shared" si="493"/>
        <v>담화공</v>
      </c>
      <c r="H3560" t="str">
        <f t="shared" si="492"/>
        <v>스토리위즈</v>
      </c>
      <c r="I3560" t="str">
        <f t="shared" si="494"/>
        <v>디버프 마스터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70</v>
      </c>
      <c r="AT3560" t="str">
        <f t="shared" si="495"/>
        <v>9791137602663</v>
      </c>
      <c r="AV3560" t="str">
        <f t="shared" si="496"/>
        <v>판타지 웹소설 &gt; 퓨전 판타지</v>
      </c>
    </row>
    <row r="3561" spans="1:48" x14ac:dyDescent="0.4">
      <c r="A3561">
        <v>2313012849</v>
      </c>
      <c r="B3561">
        <v>2313013722</v>
      </c>
      <c r="C3561" t="str">
        <f>T("디버프 마스터 874화")</f>
        <v>디버프 마스터 874화</v>
      </c>
      <c r="D3561" t="str">
        <f>T("874")</f>
        <v>874</v>
      </c>
      <c r="E3561" t="str">
        <f t="shared" si="493"/>
        <v>담화공</v>
      </c>
      <c r="H3561" t="str">
        <f t="shared" si="492"/>
        <v>스토리위즈</v>
      </c>
      <c r="I3561" t="str">
        <f t="shared" si="494"/>
        <v>디버프 마스터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70</v>
      </c>
      <c r="AT3561" t="str">
        <f t="shared" si="495"/>
        <v>9791137602663</v>
      </c>
      <c r="AV3561" t="str">
        <f t="shared" si="496"/>
        <v>판타지 웹소설 &gt; 퓨전 판타지</v>
      </c>
    </row>
    <row r="3562" spans="1:48" x14ac:dyDescent="0.4">
      <c r="A3562">
        <v>2313012849</v>
      </c>
      <c r="B3562">
        <v>2313013723</v>
      </c>
      <c r="C3562" t="str">
        <f>T("디버프 마스터 875화")</f>
        <v>디버프 마스터 875화</v>
      </c>
      <c r="D3562" t="str">
        <f>T("875")</f>
        <v>875</v>
      </c>
      <c r="E3562" t="str">
        <f t="shared" si="493"/>
        <v>담화공</v>
      </c>
      <c r="H3562" t="str">
        <f t="shared" si="492"/>
        <v>스토리위즈</v>
      </c>
      <c r="I3562" t="str">
        <f t="shared" si="494"/>
        <v>디버프 마스터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70</v>
      </c>
      <c r="AT3562" t="str">
        <f t="shared" si="495"/>
        <v>9791137602663</v>
      </c>
      <c r="AV3562" t="str">
        <f t="shared" si="496"/>
        <v>판타지 웹소설 &gt; 퓨전 판타지</v>
      </c>
    </row>
    <row r="3563" spans="1:48" x14ac:dyDescent="0.4">
      <c r="A3563">
        <v>2313012849</v>
      </c>
      <c r="B3563">
        <v>2313013724</v>
      </c>
      <c r="C3563" t="str">
        <f>T("디버프 마스터 876화")</f>
        <v>디버프 마스터 876화</v>
      </c>
      <c r="D3563" t="str">
        <f>T("876")</f>
        <v>876</v>
      </c>
      <c r="E3563" t="str">
        <f t="shared" si="493"/>
        <v>담화공</v>
      </c>
      <c r="H3563" t="str">
        <f t="shared" si="492"/>
        <v>스토리위즈</v>
      </c>
      <c r="I3563" t="str">
        <f t="shared" si="494"/>
        <v>디버프 마스터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70</v>
      </c>
      <c r="AT3563" t="str">
        <f t="shared" si="495"/>
        <v>9791137602663</v>
      </c>
      <c r="AV3563" t="str">
        <f t="shared" si="496"/>
        <v>판타지 웹소설 &gt; 퓨전 판타지</v>
      </c>
    </row>
    <row r="3564" spans="1:48" x14ac:dyDescent="0.4">
      <c r="A3564">
        <v>2313012849</v>
      </c>
      <c r="B3564">
        <v>2313013725</v>
      </c>
      <c r="C3564" t="str">
        <f>T("디버프 마스터 877화")</f>
        <v>디버프 마스터 877화</v>
      </c>
      <c r="D3564" t="str">
        <f>T("877")</f>
        <v>877</v>
      </c>
      <c r="E3564" t="str">
        <f t="shared" si="493"/>
        <v>담화공</v>
      </c>
      <c r="H3564" t="str">
        <f t="shared" si="492"/>
        <v>스토리위즈</v>
      </c>
      <c r="I3564" t="str">
        <f t="shared" si="494"/>
        <v>디버프 마스터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70</v>
      </c>
      <c r="AT3564" t="str">
        <f t="shared" si="495"/>
        <v>9791137602663</v>
      </c>
      <c r="AV3564" t="str">
        <f t="shared" si="496"/>
        <v>판타지 웹소설 &gt; 퓨전 판타지</v>
      </c>
    </row>
    <row r="3565" spans="1:48" x14ac:dyDescent="0.4">
      <c r="A3565">
        <v>2313012849</v>
      </c>
      <c r="B3565">
        <v>2313013726</v>
      </c>
      <c r="C3565" t="str">
        <f>T("디버프 마스터 878화")</f>
        <v>디버프 마스터 878화</v>
      </c>
      <c r="D3565" t="str">
        <f>T("878")</f>
        <v>878</v>
      </c>
      <c r="E3565" t="str">
        <f t="shared" si="493"/>
        <v>담화공</v>
      </c>
      <c r="H3565" t="str">
        <f t="shared" si="492"/>
        <v>스토리위즈</v>
      </c>
      <c r="I3565" t="str">
        <f t="shared" si="494"/>
        <v>디버프 마스터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70</v>
      </c>
      <c r="AT3565" t="str">
        <f t="shared" si="495"/>
        <v>9791137602663</v>
      </c>
      <c r="AV3565" t="str">
        <f t="shared" si="496"/>
        <v>판타지 웹소설 &gt; 퓨전 판타지</v>
      </c>
    </row>
    <row r="3566" spans="1:48" x14ac:dyDescent="0.4">
      <c r="A3566">
        <v>2313012849</v>
      </c>
      <c r="B3566">
        <v>2313013727</v>
      </c>
      <c r="C3566" t="str">
        <f>T("디버프 마스터 879화")</f>
        <v>디버프 마스터 879화</v>
      </c>
      <c r="D3566" t="str">
        <f>T("879")</f>
        <v>879</v>
      </c>
      <c r="E3566" t="str">
        <f t="shared" si="493"/>
        <v>담화공</v>
      </c>
      <c r="H3566" t="str">
        <f t="shared" si="492"/>
        <v>스토리위즈</v>
      </c>
      <c r="I3566" t="str">
        <f t="shared" si="494"/>
        <v>디버프 마스터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70</v>
      </c>
      <c r="AT3566" t="str">
        <f t="shared" si="495"/>
        <v>9791137602663</v>
      </c>
      <c r="AV3566" t="str">
        <f t="shared" si="496"/>
        <v>판타지 웹소설 &gt; 퓨전 판타지</v>
      </c>
    </row>
    <row r="3567" spans="1:48" x14ac:dyDescent="0.4">
      <c r="A3567">
        <v>2313012849</v>
      </c>
      <c r="B3567">
        <v>2313013728</v>
      </c>
      <c r="C3567" t="str">
        <f>T("디버프 마스터 880화")</f>
        <v>디버프 마스터 880화</v>
      </c>
      <c r="D3567" t="str">
        <f>T("880")</f>
        <v>880</v>
      </c>
      <c r="E3567" t="str">
        <f t="shared" si="493"/>
        <v>담화공</v>
      </c>
      <c r="H3567" t="str">
        <f t="shared" si="492"/>
        <v>스토리위즈</v>
      </c>
      <c r="I3567" t="str">
        <f t="shared" si="494"/>
        <v>디버프 마스터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70</v>
      </c>
      <c r="AT3567" t="str">
        <f t="shared" si="495"/>
        <v>9791137602663</v>
      </c>
      <c r="AV3567" t="str">
        <f t="shared" si="496"/>
        <v>판타지 웹소설 &gt; 퓨전 판타지</v>
      </c>
    </row>
    <row r="3568" spans="1:48" x14ac:dyDescent="0.4">
      <c r="A3568">
        <v>2313012849</v>
      </c>
      <c r="B3568">
        <v>2313013729</v>
      </c>
      <c r="C3568" t="str">
        <f>T("디버프 마스터 881화")</f>
        <v>디버프 마스터 881화</v>
      </c>
      <c r="D3568" t="str">
        <f>T("881")</f>
        <v>881</v>
      </c>
      <c r="E3568" t="str">
        <f t="shared" si="493"/>
        <v>담화공</v>
      </c>
      <c r="H3568" t="str">
        <f t="shared" si="492"/>
        <v>스토리위즈</v>
      </c>
      <c r="I3568" t="str">
        <f t="shared" si="494"/>
        <v>디버프 마스터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70</v>
      </c>
      <c r="AT3568" t="str">
        <f t="shared" si="495"/>
        <v>9791137602663</v>
      </c>
      <c r="AV3568" t="str">
        <f t="shared" si="496"/>
        <v>판타지 웹소설 &gt; 퓨전 판타지</v>
      </c>
    </row>
    <row r="3569" spans="1:48" x14ac:dyDescent="0.4">
      <c r="A3569">
        <v>2313012849</v>
      </c>
      <c r="B3569">
        <v>2313013730</v>
      </c>
      <c r="C3569" t="str">
        <f>T("디버프 마스터 882화")</f>
        <v>디버프 마스터 882화</v>
      </c>
      <c r="D3569" t="str">
        <f>T("882")</f>
        <v>882</v>
      </c>
      <c r="E3569" t="str">
        <f t="shared" si="493"/>
        <v>담화공</v>
      </c>
      <c r="H3569" t="str">
        <f t="shared" si="492"/>
        <v>스토리위즈</v>
      </c>
      <c r="I3569" t="str">
        <f t="shared" si="494"/>
        <v>디버프 마스터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70</v>
      </c>
      <c r="AT3569" t="str">
        <f t="shared" si="495"/>
        <v>9791137602663</v>
      </c>
      <c r="AV3569" t="str">
        <f t="shared" si="496"/>
        <v>판타지 웹소설 &gt; 퓨전 판타지</v>
      </c>
    </row>
    <row r="3570" spans="1:48" x14ac:dyDescent="0.4">
      <c r="A3570">
        <v>2313012849</v>
      </c>
      <c r="B3570">
        <v>2313013731</v>
      </c>
      <c r="C3570" t="str">
        <f>T("디버프 마스터 883화")</f>
        <v>디버프 마스터 883화</v>
      </c>
      <c r="D3570" t="str">
        <f>T("883")</f>
        <v>883</v>
      </c>
      <c r="E3570" t="str">
        <f t="shared" si="493"/>
        <v>담화공</v>
      </c>
      <c r="H3570" t="str">
        <f t="shared" si="492"/>
        <v>스토리위즈</v>
      </c>
      <c r="I3570" t="str">
        <f t="shared" si="494"/>
        <v>디버프 마스터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70</v>
      </c>
      <c r="AT3570" t="str">
        <f t="shared" si="495"/>
        <v>9791137602663</v>
      </c>
      <c r="AV3570" t="str">
        <f t="shared" si="496"/>
        <v>판타지 웹소설 &gt; 퓨전 판타지</v>
      </c>
    </row>
    <row r="3571" spans="1:48" x14ac:dyDescent="0.4">
      <c r="A3571">
        <v>2313012849</v>
      </c>
      <c r="B3571">
        <v>2313013732</v>
      </c>
      <c r="C3571" t="str">
        <f>T("디버프 마스터 884화")</f>
        <v>디버프 마스터 884화</v>
      </c>
      <c r="D3571" t="str">
        <f>T("884")</f>
        <v>884</v>
      </c>
      <c r="E3571" t="str">
        <f t="shared" si="493"/>
        <v>담화공</v>
      </c>
      <c r="H3571" t="str">
        <f t="shared" si="492"/>
        <v>스토리위즈</v>
      </c>
      <c r="I3571" t="str">
        <f t="shared" si="494"/>
        <v>디버프 마스터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70</v>
      </c>
      <c r="AT3571" t="str">
        <f t="shared" si="495"/>
        <v>9791137602663</v>
      </c>
      <c r="AV3571" t="str">
        <f t="shared" si="496"/>
        <v>판타지 웹소설 &gt; 퓨전 판타지</v>
      </c>
    </row>
    <row r="3572" spans="1:48" x14ac:dyDescent="0.4">
      <c r="A3572">
        <v>2313012849</v>
      </c>
      <c r="B3572">
        <v>2313013733</v>
      </c>
      <c r="C3572" t="str">
        <f>T("디버프 마스터 885화")</f>
        <v>디버프 마스터 885화</v>
      </c>
      <c r="D3572" t="str">
        <f>T("885")</f>
        <v>885</v>
      </c>
      <c r="E3572" t="str">
        <f t="shared" si="493"/>
        <v>담화공</v>
      </c>
      <c r="H3572" t="str">
        <f t="shared" si="492"/>
        <v>스토리위즈</v>
      </c>
      <c r="I3572" t="str">
        <f t="shared" si="494"/>
        <v>디버프 마스터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70</v>
      </c>
      <c r="AT3572" t="str">
        <f t="shared" si="495"/>
        <v>9791137602663</v>
      </c>
      <c r="AV3572" t="str">
        <f t="shared" si="496"/>
        <v>판타지 웹소설 &gt; 퓨전 판타지</v>
      </c>
    </row>
    <row r="3573" spans="1:48" x14ac:dyDescent="0.4">
      <c r="A3573">
        <v>2313012849</v>
      </c>
      <c r="B3573">
        <v>2313013734</v>
      </c>
      <c r="C3573" t="str">
        <f>T("디버프 마스터 886화")</f>
        <v>디버프 마스터 886화</v>
      </c>
      <c r="D3573" t="str">
        <f>T("886")</f>
        <v>886</v>
      </c>
      <c r="E3573" t="str">
        <f t="shared" si="493"/>
        <v>담화공</v>
      </c>
      <c r="H3573" t="str">
        <f t="shared" si="492"/>
        <v>스토리위즈</v>
      </c>
      <c r="I3573" t="str">
        <f t="shared" si="494"/>
        <v>디버프 마스터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70</v>
      </c>
      <c r="AT3573" t="str">
        <f t="shared" si="495"/>
        <v>9791137602663</v>
      </c>
      <c r="AV3573" t="str">
        <f t="shared" si="496"/>
        <v>판타지 웹소설 &gt; 퓨전 판타지</v>
      </c>
    </row>
    <row r="3574" spans="1:48" x14ac:dyDescent="0.4">
      <c r="A3574">
        <v>2313012849</v>
      </c>
      <c r="B3574">
        <v>2313013735</v>
      </c>
      <c r="C3574" t="str">
        <f>T("디버프 마스터 887화")</f>
        <v>디버프 마스터 887화</v>
      </c>
      <c r="D3574" t="str">
        <f>T("887")</f>
        <v>887</v>
      </c>
      <c r="E3574" t="str">
        <f t="shared" si="493"/>
        <v>담화공</v>
      </c>
      <c r="H3574" t="str">
        <f t="shared" si="492"/>
        <v>스토리위즈</v>
      </c>
      <c r="I3574" t="str">
        <f t="shared" si="494"/>
        <v>디버프 마스터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70</v>
      </c>
      <c r="AT3574" t="str">
        <f t="shared" si="495"/>
        <v>9791137602663</v>
      </c>
      <c r="AV3574" t="str">
        <f t="shared" si="496"/>
        <v>판타지 웹소설 &gt; 퓨전 판타지</v>
      </c>
    </row>
    <row r="3575" spans="1:48" x14ac:dyDescent="0.4">
      <c r="A3575">
        <v>2313012849</v>
      </c>
      <c r="B3575">
        <v>2313013736</v>
      </c>
      <c r="C3575" t="str">
        <f>T("디버프 마스터 888화")</f>
        <v>디버프 마스터 888화</v>
      </c>
      <c r="D3575" t="str">
        <f>T("888")</f>
        <v>888</v>
      </c>
      <c r="E3575" t="str">
        <f t="shared" si="493"/>
        <v>담화공</v>
      </c>
      <c r="H3575" t="str">
        <f t="shared" si="492"/>
        <v>스토리위즈</v>
      </c>
      <c r="I3575" t="str">
        <f t="shared" si="494"/>
        <v>디버프 마스터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70</v>
      </c>
      <c r="AT3575" t="str">
        <f t="shared" si="495"/>
        <v>9791137602663</v>
      </c>
      <c r="AV3575" t="str">
        <f t="shared" si="496"/>
        <v>판타지 웹소설 &gt; 퓨전 판타지</v>
      </c>
    </row>
    <row r="3576" spans="1:48" x14ac:dyDescent="0.4">
      <c r="A3576">
        <v>2313012849</v>
      </c>
      <c r="B3576">
        <v>2313013737</v>
      </c>
      <c r="C3576" t="str">
        <f>T("디버프 마스터 889화")</f>
        <v>디버프 마스터 889화</v>
      </c>
      <c r="D3576" t="str">
        <f>T("889")</f>
        <v>889</v>
      </c>
      <c r="E3576" t="str">
        <f t="shared" si="493"/>
        <v>담화공</v>
      </c>
      <c r="H3576" t="str">
        <f t="shared" si="492"/>
        <v>스토리위즈</v>
      </c>
      <c r="I3576" t="str">
        <f t="shared" si="494"/>
        <v>디버프 마스터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70</v>
      </c>
      <c r="AT3576" t="str">
        <f t="shared" si="495"/>
        <v>9791137602663</v>
      </c>
      <c r="AV3576" t="str">
        <f t="shared" si="496"/>
        <v>판타지 웹소설 &gt; 퓨전 판타지</v>
      </c>
    </row>
    <row r="3577" spans="1:48" x14ac:dyDescent="0.4">
      <c r="A3577">
        <v>2313012849</v>
      </c>
      <c r="B3577">
        <v>2313013738</v>
      </c>
      <c r="C3577" t="str">
        <f>T("디버프 마스터 890화")</f>
        <v>디버프 마스터 890화</v>
      </c>
      <c r="D3577" t="str">
        <f>T("890")</f>
        <v>890</v>
      </c>
      <c r="E3577" t="str">
        <f t="shared" si="493"/>
        <v>담화공</v>
      </c>
      <c r="H3577" t="str">
        <f t="shared" ref="H3577:H3640" si="497">T("스토리위즈")</f>
        <v>스토리위즈</v>
      </c>
      <c r="I3577" t="str">
        <f t="shared" si="494"/>
        <v>디버프 마스터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70</v>
      </c>
      <c r="AT3577" t="str">
        <f t="shared" si="495"/>
        <v>9791137602663</v>
      </c>
      <c r="AV3577" t="str">
        <f t="shared" si="496"/>
        <v>판타지 웹소설 &gt; 퓨전 판타지</v>
      </c>
    </row>
    <row r="3578" spans="1:48" x14ac:dyDescent="0.4">
      <c r="A3578">
        <v>2313012849</v>
      </c>
      <c r="B3578">
        <v>2313013739</v>
      </c>
      <c r="C3578" t="str">
        <f>T("디버프 마스터 891화")</f>
        <v>디버프 마스터 891화</v>
      </c>
      <c r="D3578" t="str">
        <f>T("891")</f>
        <v>891</v>
      </c>
      <c r="E3578" t="str">
        <f t="shared" si="493"/>
        <v>담화공</v>
      </c>
      <c r="H3578" t="str">
        <f t="shared" si="497"/>
        <v>스토리위즈</v>
      </c>
      <c r="I3578" t="str">
        <f t="shared" si="494"/>
        <v>디버프 마스터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70</v>
      </c>
      <c r="AT3578" t="str">
        <f t="shared" si="495"/>
        <v>9791137602663</v>
      </c>
      <c r="AV3578" t="str">
        <f t="shared" si="496"/>
        <v>판타지 웹소설 &gt; 퓨전 판타지</v>
      </c>
    </row>
    <row r="3579" spans="1:48" x14ac:dyDescent="0.4">
      <c r="A3579">
        <v>2313012849</v>
      </c>
      <c r="B3579">
        <v>2313013740</v>
      </c>
      <c r="C3579" t="str">
        <f>T("디버프 마스터 892화")</f>
        <v>디버프 마스터 892화</v>
      </c>
      <c r="D3579" t="str">
        <f>T("892")</f>
        <v>892</v>
      </c>
      <c r="E3579" t="str">
        <f t="shared" si="493"/>
        <v>담화공</v>
      </c>
      <c r="H3579" t="str">
        <f t="shared" si="497"/>
        <v>스토리위즈</v>
      </c>
      <c r="I3579" t="str">
        <f t="shared" si="494"/>
        <v>디버프 마스터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70</v>
      </c>
      <c r="AT3579" t="str">
        <f t="shared" si="495"/>
        <v>9791137602663</v>
      </c>
      <c r="AV3579" t="str">
        <f t="shared" si="496"/>
        <v>판타지 웹소설 &gt; 퓨전 판타지</v>
      </c>
    </row>
    <row r="3580" spans="1:48" x14ac:dyDescent="0.4">
      <c r="A3580">
        <v>2313012849</v>
      </c>
      <c r="B3580">
        <v>2313013741</v>
      </c>
      <c r="C3580" t="str">
        <f>T("디버프 마스터 893화")</f>
        <v>디버프 마스터 893화</v>
      </c>
      <c r="D3580" t="str">
        <f>T("893")</f>
        <v>893</v>
      </c>
      <c r="E3580" t="str">
        <f t="shared" si="493"/>
        <v>담화공</v>
      </c>
      <c r="H3580" t="str">
        <f t="shared" si="497"/>
        <v>스토리위즈</v>
      </c>
      <c r="I3580" t="str">
        <f t="shared" si="494"/>
        <v>디버프 마스터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70</v>
      </c>
      <c r="AT3580" t="str">
        <f t="shared" si="495"/>
        <v>9791137602663</v>
      </c>
      <c r="AV3580" t="str">
        <f t="shared" si="496"/>
        <v>판타지 웹소설 &gt; 퓨전 판타지</v>
      </c>
    </row>
    <row r="3581" spans="1:48" x14ac:dyDescent="0.4">
      <c r="A3581">
        <v>2313012849</v>
      </c>
      <c r="B3581">
        <v>2313013742</v>
      </c>
      <c r="C3581" t="str">
        <f>T("디버프 마스터 894화")</f>
        <v>디버프 마스터 894화</v>
      </c>
      <c r="D3581" t="str">
        <f>T("894")</f>
        <v>894</v>
      </c>
      <c r="E3581" t="str">
        <f t="shared" si="493"/>
        <v>담화공</v>
      </c>
      <c r="H3581" t="str">
        <f t="shared" si="497"/>
        <v>스토리위즈</v>
      </c>
      <c r="I3581" t="str">
        <f t="shared" si="494"/>
        <v>디버프 마스터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70</v>
      </c>
      <c r="AT3581" t="str">
        <f t="shared" si="495"/>
        <v>9791137602663</v>
      </c>
      <c r="AV3581" t="str">
        <f t="shared" si="496"/>
        <v>판타지 웹소설 &gt; 퓨전 판타지</v>
      </c>
    </row>
    <row r="3582" spans="1:48" x14ac:dyDescent="0.4">
      <c r="A3582">
        <v>2313012849</v>
      </c>
      <c r="B3582">
        <v>2313013743</v>
      </c>
      <c r="C3582" t="str">
        <f>T("디버프 마스터 895화")</f>
        <v>디버프 마스터 895화</v>
      </c>
      <c r="D3582" t="str">
        <f>T("895")</f>
        <v>895</v>
      </c>
      <c r="E3582" t="str">
        <f t="shared" si="493"/>
        <v>담화공</v>
      </c>
      <c r="H3582" t="str">
        <f t="shared" si="497"/>
        <v>스토리위즈</v>
      </c>
      <c r="I3582" t="str">
        <f t="shared" si="494"/>
        <v>디버프 마스터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70</v>
      </c>
      <c r="AT3582" t="str">
        <f t="shared" si="495"/>
        <v>9791137602663</v>
      </c>
      <c r="AV3582" t="str">
        <f t="shared" si="496"/>
        <v>판타지 웹소설 &gt; 퓨전 판타지</v>
      </c>
    </row>
    <row r="3583" spans="1:48" x14ac:dyDescent="0.4">
      <c r="A3583">
        <v>2313012849</v>
      </c>
      <c r="B3583">
        <v>2313013744</v>
      </c>
      <c r="C3583" t="str">
        <f>T("디버프 마스터 896화")</f>
        <v>디버프 마스터 896화</v>
      </c>
      <c r="D3583" t="str">
        <f>T("896")</f>
        <v>896</v>
      </c>
      <c r="E3583" t="str">
        <f t="shared" si="493"/>
        <v>담화공</v>
      </c>
      <c r="H3583" t="str">
        <f t="shared" si="497"/>
        <v>스토리위즈</v>
      </c>
      <c r="I3583" t="str">
        <f t="shared" si="494"/>
        <v>디버프 마스터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70</v>
      </c>
      <c r="AT3583" t="str">
        <f t="shared" si="495"/>
        <v>9791137602663</v>
      </c>
      <c r="AV3583" t="str">
        <f t="shared" si="496"/>
        <v>판타지 웹소설 &gt; 퓨전 판타지</v>
      </c>
    </row>
    <row r="3584" spans="1:48" x14ac:dyDescent="0.4">
      <c r="A3584">
        <v>2313012849</v>
      </c>
      <c r="B3584">
        <v>2313013745</v>
      </c>
      <c r="C3584" t="str">
        <f>T("디버프 마스터 897화")</f>
        <v>디버프 마스터 897화</v>
      </c>
      <c r="D3584" t="str">
        <f>T("897")</f>
        <v>897</v>
      </c>
      <c r="E3584" t="str">
        <f t="shared" si="493"/>
        <v>담화공</v>
      </c>
      <c r="H3584" t="str">
        <f t="shared" si="497"/>
        <v>스토리위즈</v>
      </c>
      <c r="I3584" t="str">
        <f t="shared" si="494"/>
        <v>디버프 마스터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70</v>
      </c>
      <c r="AT3584" t="str">
        <f t="shared" si="495"/>
        <v>9791137602663</v>
      </c>
      <c r="AV3584" t="str">
        <f t="shared" si="496"/>
        <v>판타지 웹소설 &gt; 퓨전 판타지</v>
      </c>
    </row>
    <row r="3585" spans="1:48" x14ac:dyDescent="0.4">
      <c r="A3585">
        <v>2313012849</v>
      </c>
      <c r="B3585">
        <v>2313013746</v>
      </c>
      <c r="C3585" t="str">
        <f>T("디버프 마스터 898화")</f>
        <v>디버프 마스터 898화</v>
      </c>
      <c r="D3585" t="str">
        <f>T("898")</f>
        <v>898</v>
      </c>
      <c r="E3585" t="str">
        <f t="shared" si="493"/>
        <v>담화공</v>
      </c>
      <c r="H3585" t="str">
        <f t="shared" si="497"/>
        <v>스토리위즈</v>
      </c>
      <c r="I3585" t="str">
        <f t="shared" si="494"/>
        <v>디버프 마스터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70</v>
      </c>
      <c r="AT3585" t="str">
        <f t="shared" si="495"/>
        <v>9791137602663</v>
      </c>
      <c r="AV3585" t="str">
        <f t="shared" si="496"/>
        <v>판타지 웹소설 &gt; 퓨전 판타지</v>
      </c>
    </row>
    <row r="3586" spans="1:48" x14ac:dyDescent="0.4">
      <c r="A3586">
        <v>2313012849</v>
      </c>
      <c r="B3586">
        <v>2313013747</v>
      </c>
      <c r="C3586" t="str">
        <f>T("디버프 마스터 899화")</f>
        <v>디버프 마스터 899화</v>
      </c>
      <c r="D3586" t="str">
        <f>T("899")</f>
        <v>899</v>
      </c>
      <c r="E3586" t="str">
        <f t="shared" si="493"/>
        <v>담화공</v>
      </c>
      <c r="H3586" t="str">
        <f t="shared" si="497"/>
        <v>스토리위즈</v>
      </c>
      <c r="I3586" t="str">
        <f t="shared" si="494"/>
        <v>디버프 마스터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70</v>
      </c>
      <c r="AT3586" t="str">
        <f t="shared" si="495"/>
        <v>9791137602663</v>
      </c>
      <c r="AV3586" t="str">
        <f t="shared" si="496"/>
        <v>판타지 웹소설 &gt; 퓨전 판타지</v>
      </c>
    </row>
    <row r="3587" spans="1:48" x14ac:dyDescent="0.4">
      <c r="A3587">
        <v>2313012849</v>
      </c>
      <c r="B3587">
        <v>2313013748</v>
      </c>
      <c r="C3587" t="str">
        <f>T("디버프 마스터 900화")</f>
        <v>디버프 마스터 900화</v>
      </c>
      <c r="D3587" t="str">
        <f>T("900")</f>
        <v>900</v>
      </c>
      <c r="E3587" t="str">
        <f t="shared" si="493"/>
        <v>담화공</v>
      </c>
      <c r="H3587" t="str">
        <f t="shared" si="497"/>
        <v>스토리위즈</v>
      </c>
      <c r="I3587" t="str">
        <f t="shared" si="494"/>
        <v>디버프 마스터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70</v>
      </c>
      <c r="AT3587" t="str">
        <f t="shared" si="495"/>
        <v>9791137602663</v>
      </c>
      <c r="AV3587" t="str">
        <f t="shared" si="496"/>
        <v>판타지 웹소설 &gt; 퓨전 판타지</v>
      </c>
    </row>
    <row r="3588" spans="1:48" x14ac:dyDescent="0.4">
      <c r="A3588">
        <v>2313012849</v>
      </c>
      <c r="B3588">
        <v>2313013749</v>
      </c>
      <c r="C3588" t="str">
        <f>T("디버프 마스터 901화")</f>
        <v>디버프 마스터 901화</v>
      </c>
      <c r="D3588" t="str">
        <f>T("901")</f>
        <v>901</v>
      </c>
      <c r="E3588" t="str">
        <f t="shared" si="493"/>
        <v>담화공</v>
      </c>
      <c r="H3588" t="str">
        <f t="shared" si="497"/>
        <v>스토리위즈</v>
      </c>
      <c r="I3588" t="str">
        <f t="shared" si="494"/>
        <v>디버프 마스터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70</v>
      </c>
      <c r="AT3588" t="str">
        <f t="shared" si="495"/>
        <v>9791137602663</v>
      </c>
      <c r="AV3588" t="str">
        <f t="shared" si="496"/>
        <v>판타지 웹소설 &gt; 퓨전 판타지</v>
      </c>
    </row>
    <row r="3589" spans="1:48" x14ac:dyDescent="0.4">
      <c r="A3589">
        <v>2313012849</v>
      </c>
      <c r="B3589">
        <v>2313013750</v>
      </c>
      <c r="C3589" t="str">
        <f>T("디버프 마스터 902화")</f>
        <v>디버프 마스터 902화</v>
      </c>
      <c r="D3589" t="str">
        <f>T("902")</f>
        <v>902</v>
      </c>
      <c r="E3589" t="str">
        <f t="shared" si="493"/>
        <v>담화공</v>
      </c>
      <c r="H3589" t="str">
        <f t="shared" si="497"/>
        <v>스토리위즈</v>
      </c>
      <c r="I3589" t="str">
        <f t="shared" si="494"/>
        <v>디버프 마스터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70</v>
      </c>
      <c r="AT3589" t="str">
        <f t="shared" si="495"/>
        <v>9791137602663</v>
      </c>
      <c r="AV3589" t="str">
        <f t="shared" si="496"/>
        <v>판타지 웹소설 &gt; 퓨전 판타지</v>
      </c>
    </row>
    <row r="3590" spans="1:48" x14ac:dyDescent="0.4">
      <c r="A3590">
        <v>2313012849</v>
      </c>
      <c r="B3590">
        <v>2313013751</v>
      </c>
      <c r="C3590" t="str">
        <f>T("디버프 마스터 903화")</f>
        <v>디버프 마스터 903화</v>
      </c>
      <c r="D3590" t="str">
        <f>T("903")</f>
        <v>903</v>
      </c>
      <c r="E3590" t="str">
        <f t="shared" si="493"/>
        <v>담화공</v>
      </c>
      <c r="H3590" t="str">
        <f t="shared" si="497"/>
        <v>스토리위즈</v>
      </c>
      <c r="I3590" t="str">
        <f t="shared" si="494"/>
        <v>디버프 마스터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70</v>
      </c>
      <c r="AT3590" t="str">
        <f t="shared" si="495"/>
        <v>9791137602663</v>
      </c>
      <c r="AV3590" t="str">
        <f t="shared" si="496"/>
        <v>판타지 웹소설 &gt; 퓨전 판타지</v>
      </c>
    </row>
    <row r="3591" spans="1:48" x14ac:dyDescent="0.4">
      <c r="A3591">
        <v>2313012849</v>
      </c>
      <c r="B3591">
        <v>2313013752</v>
      </c>
      <c r="C3591" t="str">
        <f>T("디버프 마스터 904화")</f>
        <v>디버프 마스터 904화</v>
      </c>
      <c r="D3591" t="str">
        <f>T("904")</f>
        <v>904</v>
      </c>
      <c r="E3591" t="str">
        <f t="shared" si="493"/>
        <v>담화공</v>
      </c>
      <c r="H3591" t="str">
        <f t="shared" si="497"/>
        <v>스토리위즈</v>
      </c>
      <c r="I3591" t="str">
        <f t="shared" si="494"/>
        <v>디버프 마스터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70</v>
      </c>
      <c r="AT3591" t="str">
        <f t="shared" si="495"/>
        <v>9791137602663</v>
      </c>
      <c r="AV3591" t="str">
        <f t="shared" si="496"/>
        <v>판타지 웹소설 &gt; 퓨전 판타지</v>
      </c>
    </row>
    <row r="3592" spans="1:48" x14ac:dyDescent="0.4">
      <c r="A3592">
        <v>2313012849</v>
      </c>
      <c r="B3592">
        <v>2313013753</v>
      </c>
      <c r="C3592" t="str">
        <f>T("디버프 마스터 905화")</f>
        <v>디버프 마스터 905화</v>
      </c>
      <c r="D3592" t="str">
        <f>T("905")</f>
        <v>905</v>
      </c>
      <c r="E3592" t="str">
        <f t="shared" ref="E3592:E3655" si="498">T("담화공")</f>
        <v>담화공</v>
      </c>
      <c r="H3592" t="str">
        <f t="shared" si="497"/>
        <v>스토리위즈</v>
      </c>
      <c r="I3592" t="str">
        <f t="shared" ref="I3592:I3655" si="499">T("디버프 마스터")</f>
        <v>디버프 마스터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70</v>
      </c>
      <c r="AT3592" t="str">
        <f t="shared" ref="AT3592:AT3655" si="500">T("9791137602663")</f>
        <v>9791137602663</v>
      </c>
      <c r="AV3592" t="str">
        <f t="shared" ref="AV3592:AV3655" si="501">T("판타지 웹소설 &gt; 퓨전 판타지")</f>
        <v>판타지 웹소설 &gt; 퓨전 판타지</v>
      </c>
    </row>
    <row r="3593" spans="1:48" x14ac:dyDescent="0.4">
      <c r="A3593">
        <v>2313012849</v>
      </c>
      <c r="B3593">
        <v>2313013754</v>
      </c>
      <c r="C3593" t="str">
        <f>T("디버프 마스터 906화")</f>
        <v>디버프 마스터 906화</v>
      </c>
      <c r="D3593" t="str">
        <f>T("906")</f>
        <v>906</v>
      </c>
      <c r="E3593" t="str">
        <f t="shared" si="498"/>
        <v>담화공</v>
      </c>
      <c r="H3593" t="str">
        <f t="shared" si="497"/>
        <v>스토리위즈</v>
      </c>
      <c r="I3593" t="str">
        <f t="shared" si="499"/>
        <v>디버프 마스터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70</v>
      </c>
      <c r="AT3593" t="str">
        <f t="shared" si="500"/>
        <v>9791137602663</v>
      </c>
      <c r="AV3593" t="str">
        <f t="shared" si="501"/>
        <v>판타지 웹소설 &gt; 퓨전 판타지</v>
      </c>
    </row>
    <row r="3594" spans="1:48" x14ac:dyDescent="0.4">
      <c r="A3594">
        <v>2313012849</v>
      </c>
      <c r="B3594">
        <v>2313013755</v>
      </c>
      <c r="C3594" t="str">
        <f>T("디버프 마스터 907화")</f>
        <v>디버프 마스터 907화</v>
      </c>
      <c r="D3594" t="str">
        <f>T("907")</f>
        <v>907</v>
      </c>
      <c r="E3594" t="str">
        <f t="shared" si="498"/>
        <v>담화공</v>
      </c>
      <c r="H3594" t="str">
        <f t="shared" si="497"/>
        <v>스토리위즈</v>
      </c>
      <c r="I3594" t="str">
        <f t="shared" si="499"/>
        <v>디버프 마스터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70</v>
      </c>
      <c r="AT3594" t="str">
        <f t="shared" si="500"/>
        <v>9791137602663</v>
      </c>
      <c r="AV3594" t="str">
        <f t="shared" si="501"/>
        <v>판타지 웹소설 &gt; 퓨전 판타지</v>
      </c>
    </row>
    <row r="3595" spans="1:48" x14ac:dyDescent="0.4">
      <c r="A3595">
        <v>2313012849</v>
      </c>
      <c r="B3595">
        <v>2313013756</v>
      </c>
      <c r="C3595" t="str">
        <f>T("디버프 마스터 908화")</f>
        <v>디버프 마스터 908화</v>
      </c>
      <c r="D3595" t="str">
        <f>T("908")</f>
        <v>908</v>
      </c>
      <c r="E3595" t="str">
        <f t="shared" si="498"/>
        <v>담화공</v>
      </c>
      <c r="H3595" t="str">
        <f t="shared" si="497"/>
        <v>스토리위즈</v>
      </c>
      <c r="I3595" t="str">
        <f t="shared" si="499"/>
        <v>디버프 마스터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70</v>
      </c>
      <c r="AT3595" t="str">
        <f t="shared" si="500"/>
        <v>9791137602663</v>
      </c>
      <c r="AV3595" t="str">
        <f t="shared" si="501"/>
        <v>판타지 웹소설 &gt; 퓨전 판타지</v>
      </c>
    </row>
    <row r="3596" spans="1:48" x14ac:dyDescent="0.4">
      <c r="A3596">
        <v>2313012849</v>
      </c>
      <c r="B3596">
        <v>2313013757</v>
      </c>
      <c r="C3596" t="str">
        <f>T("디버프 마스터 909화")</f>
        <v>디버프 마스터 909화</v>
      </c>
      <c r="D3596" t="str">
        <f>T("909")</f>
        <v>909</v>
      </c>
      <c r="E3596" t="str">
        <f t="shared" si="498"/>
        <v>담화공</v>
      </c>
      <c r="H3596" t="str">
        <f t="shared" si="497"/>
        <v>스토리위즈</v>
      </c>
      <c r="I3596" t="str">
        <f t="shared" si="499"/>
        <v>디버프 마스터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70</v>
      </c>
      <c r="AT3596" t="str">
        <f t="shared" si="500"/>
        <v>9791137602663</v>
      </c>
      <c r="AV3596" t="str">
        <f t="shared" si="501"/>
        <v>판타지 웹소설 &gt; 퓨전 판타지</v>
      </c>
    </row>
    <row r="3597" spans="1:48" x14ac:dyDescent="0.4">
      <c r="A3597">
        <v>2313012849</v>
      </c>
      <c r="B3597">
        <v>2313013758</v>
      </c>
      <c r="C3597" t="str">
        <f>T("디버프 마스터 910화")</f>
        <v>디버프 마스터 910화</v>
      </c>
      <c r="D3597" t="str">
        <f>T("910")</f>
        <v>910</v>
      </c>
      <c r="E3597" t="str">
        <f t="shared" si="498"/>
        <v>담화공</v>
      </c>
      <c r="H3597" t="str">
        <f t="shared" si="497"/>
        <v>스토리위즈</v>
      </c>
      <c r="I3597" t="str">
        <f t="shared" si="499"/>
        <v>디버프 마스터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70</v>
      </c>
      <c r="AT3597" t="str">
        <f t="shared" si="500"/>
        <v>9791137602663</v>
      </c>
      <c r="AV3597" t="str">
        <f t="shared" si="501"/>
        <v>판타지 웹소설 &gt; 퓨전 판타지</v>
      </c>
    </row>
    <row r="3598" spans="1:48" x14ac:dyDescent="0.4">
      <c r="A3598">
        <v>2313012849</v>
      </c>
      <c r="B3598">
        <v>2313013759</v>
      </c>
      <c r="C3598" t="str">
        <f>T("디버프 마스터 911화")</f>
        <v>디버프 마스터 911화</v>
      </c>
      <c r="D3598" t="str">
        <f>T("911")</f>
        <v>911</v>
      </c>
      <c r="E3598" t="str">
        <f t="shared" si="498"/>
        <v>담화공</v>
      </c>
      <c r="H3598" t="str">
        <f t="shared" si="497"/>
        <v>스토리위즈</v>
      </c>
      <c r="I3598" t="str">
        <f t="shared" si="499"/>
        <v>디버프 마스터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70</v>
      </c>
      <c r="AT3598" t="str">
        <f t="shared" si="500"/>
        <v>9791137602663</v>
      </c>
      <c r="AV3598" t="str">
        <f t="shared" si="501"/>
        <v>판타지 웹소설 &gt; 퓨전 판타지</v>
      </c>
    </row>
    <row r="3599" spans="1:48" x14ac:dyDescent="0.4">
      <c r="A3599">
        <v>2313012849</v>
      </c>
      <c r="B3599">
        <v>2313013760</v>
      </c>
      <c r="C3599" t="str">
        <f>T("디버프 마스터 912화")</f>
        <v>디버프 마스터 912화</v>
      </c>
      <c r="D3599" t="str">
        <f>T("912")</f>
        <v>912</v>
      </c>
      <c r="E3599" t="str">
        <f t="shared" si="498"/>
        <v>담화공</v>
      </c>
      <c r="H3599" t="str">
        <f t="shared" si="497"/>
        <v>스토리위즈</v>
      </c>
      <c r="I3599" t="str">
        <f t="shared" si="499"/>
        <v>디버프 마스터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70</v>
      </c>
      <c r="AT3599" t="str">
        <f t="shared" si="500"/>
        <v>9791137602663</v>
      </c>
      <c r="AV3599" t="str">
        <f t="shared" si="501"/>
        <v>판타지 웹소설 &gt; 퓨전 판타지</v>
      </c>
    </row>
    <row r="3600" spans="1:48" x14ac:dyDescent="0.4">
      <c r="A3600">
        <v>2313012849</v>
      </c>
      <c r="B3600">
        <v>2313013761</v>
      </c>
      <c r="C3600" t="str">
        <f>T("디버프 마스터 913화")</f>
        <v>디버프 마스터 913화</v>
      </c>
      <c r="D3600" t="str">
        <f>T("913")</f>
        <v>913</v>
      </c>
      <c r="E3600" t="str">
        <f t="shared" si="498"/>
        <v>담화공</v>
      </c>
      <c r="H3600" t="str">
        <f t="shared" si="497"/>
        <v>스토리위즈</v>
      </c>
      <c r="I3600" t="str">
        <f t="shared" si="499"/>
        <v>디버프 마스터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70</v>
      </c>
      <c r="AT3600" t="str">
        <f t="shared" si="500"/>
        <v>9791137602663</v>
      </c>
      <c r="AV3600" t="str">
        <f t="shared" si="501"/>
        <v>판타지 웹소설 &gt; 퓨전 판타지</v>
      </c>
    </row>
    <row r="3601" spans="1:48" x14ac:dyDescent="0.4">
      <c r="A3601">
        <v>2313012849</v>
      </c>
      <c r="B3601">
        <v>2313013762</v>
      </c>
      <c r="C3601" t="str">
        <f>T("디버프 마스터 914화")</f>
        <v>디버프 마스터 914화</v>
      </c>
      <c r="D3601" t="str">
        <f>T("914")</f>
        <v>914</v>
      </c>
      <c r="E3601" t="str">
        <f t="shared" si="498"/>
        <v>담화공</v>
      </c>
      <c r="H3601" t="str">
        <f t="shared" si="497"/>
        <v>스토리위즈</v>
      </c>
      <c r="I3601" t="str">
        <f t="shared" si="499"/>
        <v>디버프 마스터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70</v>
      </c>
      <c r="AT3601" t="str">
        <f t="shared" si="500"/>
        <v>9791137602663</v>
      </c>
      <c r="AV3601" t="str">
        <f t="shared" si="501"/>
        <v>판타지 웹소설 &gt; 퓨전 판타지</v>
      </c>
    </row>
    <row r="3602" spans="1:48" x14ac:dyDescent="0.4">
      <c r="A3602">
        <v>2313012849</v>
      </c>
      <c r="B3602">
        <v>2313013763</v>
      </c>
      <c r="C3602" t="str">
        <f>T("디버프 마스터 915화")</f>
        <v>디버프 마스터 915화</v>
      </c>
      <c r="D3602" t="str">
        <f>T("915")</f>
        <v>915</v>
      </c>
      <c r="E3602" t="str">
        <f t="shared" si="498"/>
        <v>담화공</v>
      </c>
      <c r="H3602" t="str">
        <f t="shared" si="497"/>
        <v>스토리위즈</v>
      </c>
      <c r="I3602" t="str">
        <f t="shared" si="499"/>
        <v>디버프 마스터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70</v>
      </c>
      <c r="AT3602" t="str">
        <f t="shared" si="500"/>
        <v>9791137602663</v>
      </c>
      <c r="AV3602" t="str">
        <f t="shared" si="501"/>
        <v>판타지 웹소설 &gt; 퓨전 판타지</v>
      </c>
    </row>
    <row r="3603" spans="1:48" x14ac:dyDescent="0.4">
      <c r="A3603">
        <v>2313012849</v>
      </c>
      <c r="B3603">
        <v>2313013764</v>
      </c>
      <c r="C3603" t="str">
        <f>T("디버프 마스터 916화")</f>
        <v>디버프 마스터 916화</v>
      </c>
      <c r="D3603" t="str">
        <f>T("916")</f>
        <v>916</v>
      </c>
      <c r="E3603" t="str">
        <f t="shared" si="498"/>
        <v>담화공</v>
      </c>
      <c r="H3603" t="str">
        <f t="shared" si="497"/>
        <v>스토리위즈</v>
      </c>
      <c r="I3603" t="str">
        <f t="shared" si="499"/>
        <v>디버프 마스터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70</v>
      </c>
      <c r="AT3603" t="str">
        <f t="shared" si="500"/>
        <v>9791137602663</v>
      </c>
      <c r="AV3603" t="str">
        <f t="shared" si="501"/>
        <v>판타지 웹소설 &gt; 퓨전 판타지</v>
      </c>
    </row>
    <row r="3604" spans="1:48" x14ac:dyDescent="0.4">
      <c r="A3604">
        <v>2313012849</v>
      </c>
      <c r="B3604">
        <v>2313013765</v>
      </c>
      <c r="C3604" t="str">
        <f>T("디버프 마스터 917화")</f>
        <v>디버프 마스터 917화</v>
      </c>
      <c r="D3604" t="str">
        <f>T("917")</f>
        <v>917</v>
      </c>
      <c r="E3604" t="str">
        <f t="shared" si="498"/>
        <v>담화공</v>
      </c>
      <c r="H3604" t="str">
        <f t="shared" si="497"/>
        <v>스토리위즈</v>
      </c>
      <c r="I3604" t="str">
        <f t="shared" si="499"/>
        <v>디버프 마스터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70</v>
      </c>
      <c r="AT3604" t="str">
        <f t="shared" si="500"/>
        <v>9791137602663</v>
      </c>
      <c r="AV3604" t="str">
        <f t="shared" si="501"/>
        <v>판타지 웹소설 &gt; 퓨전 판타지</v>
      </c>
    </row>
    <row r="3605" spans="1:48" x14ac:dyDescent="0.4">
      <c r="A3605">
        <v>2313012849</v>
      </c>
      <c r="B3605">
        <v>2313013766</v>
      </c>
      <c r="C3605" t="str">
        <f>T("디버프 마스터 918화")</f>
        <v>디버프 마스터 918화</v>
      </c>
      <c r="D3605" t="str">
        <f>T("918")</f>
        <v>918</v>
      </c>
      <c r="E3605" t="str">
        <f t="shared" si="498"/>
        <v>담화공</v>
      </c>
      <c r="H3605" t="str">
        <f t="shared" si="497"/>
        <v>스토리위즈</v>
      </c>
      <c r="I3605" t="str">
        <f t="shared" si="499"/>
        <v>디버프 마스터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70</v>
      </c>
      <c r="AT3605" t="str">
        <f t="shared" si="500"/>
        <v>9791137602663</v>
      </c>
      <c r="AV3605" t="str">
        <f t="shared" si="501"/>
        <v>판타지 웹소설 &gt; 퓨전 판타지</v>
      </c>
    </row>
    <row r="3606" spans="1:48" x14ac:dyDescent="0.4">
      <c r="A3606">
        <v>2313012849</v>
      </c>
      <c r="B3606">
        <v>2313013767</v>
      </c>
      <c r="C3606" t="str">
        <f>T("디버프 마스터 919화")</f>
        <v>디버프 마스터 919화</v>
      </c>
      <c r="D3606" t="str">
        <f>T("919")</f>
        <v>919</v>
      </c>
      <c r="E3606" t="str">
        <f t="shared" si="498"/>
        <v>담화공</v>
      </c>
      <c r="H3606" t="str">
        <f t="shared" si="497"/>
        <v>스토리위즈</v>
      </c>
      <c r="I3606" t="str">
        <f t="shared" si="499"/>
        <v>디버프 마스터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70</v>
      </c>
      <c r="AT3606" t="str">
        <f t="shared" si="500"/>
        <v>9791137602663</v>
      </c>
      <c r="AV3606" t="str">
        <f t="shared" si="501"/>
        <v>판타지 웹소설 &gt; 퓨전 판타지</v>
      </c>
    </row>
    <row r="3607" spans="1:48" x14ac:dyDescent="0.4">
      <c r="A3607">
        <v>2313012849</v>
      </c>
      <c r="B3607">
        <v>2313013768</v>
      </c>
      <c r="C3607" t="str">
        <f>T("디버프 마스터 920화")</f>
        <v>디버프 마스터 920화</v>
      </c>
      <c r="D3607" t="str">
        <f>T("920")</f>
        <v>920</v>
      </c>
      <c r="E3607" t="str">
        <f t="shared" si="498"/>
        <v>담화공</v>
      </c>
      <c r="H3607" t="str">
        <f t="shared" si="497"/>
        <v>스토리위즈</v>
      </c>
      <c r="I3607" t="str">
        <f t="shared" si="499"/>
        <v>디버프 마스터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70</v>
      </c>
      <c r="AT3607" t="str">
        <f t="shared" si="500"/>
        <v>9791137602663</v>
      </c>
      <c r="AV3607" t="str">
        <f t="shared" si="501"/>
        <v>판타지 웹소설 &gt; 퓨전 판타지</v>
      </c>
    </row>
    <row r="3608" spans="1:48" x14ac:dyDescent="0.4">
      <c r="A3608">
        <v>2313012849</v>
      </c>
      <c r="B3608">
        <v>2313013769</v>
      </c>
      <c r="C3608" t="str">
        <f>T("디버프 마스터 921화")</f>
        <v>디버프 마스터 921화</v>
      </c>
      <c r="D3608" t="str">
        <f>T("921")</f>
        <v>921</v>
      </c>
      <c r="E3608" t="str">
        <f t="shared" si="498"/>
        <v>담화공</v>
      </c>
      <c r="H3608" t="str">
        <f t="shared" si="497"/>
        <v>스토리위즈</v>
      </c>
      <c r="I3608" t="str">
        <f t="shared" si="499"/>
        <v>디버프 마스터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70</v>
      </c>
      <c r="AT3608" t="str">
        <f t="shared" si="500"/>
        <v>9791137602663</v>
      </c>
      <c r="AV3608" t="str">
        <f t="shared" si="501"/>
        <v>판타지 웹소설 &gt; 퓨전 판타지</v>
      </c>
    </row>
    <row r="3609" spans="1:48" x14ac:dyDescent="0.4">
      <c r="A3609">
        <v>2313012849</v>
      </c>
      <c r="B3609">
        <v>2313013770</v>
      </c>
      <c r="C3609" t="str">
        <f>T("디버프 마스터 922화")</f>
        <v>디버프 마스터 922화</v>
      </c>
      <c r="D3609" t="str">
        <f>T("922")</f>
        <v>922</v>
      </c>
      <c r="E3609" t="str">
        <f t="shared" si="498"/>
        <v>담화공</v>
      </c>
      <c r="H3609" t="str">
        <f t="shared" si="497"/>
        <v>스토리위즈</v>
      </c>
      <c r="I3609" t="str">
        <f t="shared" si="499"/>
        <v>디버프 마스터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70</v>
      </c>
      <c r="AT3609" t="str">
        <f t="shared" si="500"/>
        <v>9791137602663</v>
      </c>
      <c r="AV3609" t="str">
        <f t="shared" si="501"/>
        <v>판타지 웹소설 &gt; 퓨전 판타지</v>
      </c>
    </row>
    <row r="3610" spans="1:48" x14ac:dyDescent="0.4">
      <c r="A3610">
        <v>2313012849</v>
      </c>
      <c r="B3610">
        <v>2313013771</v>
      </c>
      <c r="C3610" t="str">
        <f>T("디버프 마스터 923화")</f>
        <v>디버프 마스터 923화</v>
      </c>
      <c r="D3610" t="str">
        <f>T("923")</f>
        <v>923</v>
      </c>
      <c r="E3610" t="str">
        <f t="shared" si="498"/>
        <v>담화공</v>
      </c>
      <c r="H3610" t="str">
        <f t="shared" si="497"/>
        <v>스토리위즈</v>
      </c>
      <c r="I3610" t="str">
        <f t="shared" si="499"/>
        <v>디버프 마스터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70</v>
      </c>
      <c r="AT3610" t="str">
        <f t="shared" si="500"/>
        <v>9791137602663</v>
      </c>
      <c r="AV3610" t="str">
        <f t="shared" si="501"/>
        <v>판타지 웹소설 &gt; 퓨전 판타지</v>
      </c>
    </row>
    <row r="3611" spans="1:48" x14ac:dyDescent="0.4">
      <c r="A3611">
        <v>2313012849</v>
      </c>
      <c r="B3611">
        <v>2313013772</v>
      </c>
      <c r="C3611" t="str">
        <f>T("디버프 마스터 924화")</f>
        <v>디버프 마스터 924화</v>
      </c>
      <c r="D3611" t="str">
        <f>T("924")</f>
        <v>924</v>
      </c>
      <c r="E3611" t="str">
        <f t="shared" si="498"/>
        <v>담화공</v>
      </c>
      <c r="H3611" t="str">
        <f t="shared" si="497"/>
        <v>스토리위즈</v>
      </c>
      <c r="I3611" t="str">
        <f t="shared" si="499"/>
        <v>디버프 마스터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70</v>
      </c>
      <c r="AT3611" t="str">
        <f t="shared" si="500"/>
        <v>9791137602663</v>
      </c>
      <c r="AV3611" t="str">
        <f t="shared" si="501"/>
        <v>판타지 웹소설 &gt; 퓨전 판타지</v>
      </c>
    </row>
    <row r="3612" spans="1:48" x14ac:dyDescent="0.4">
      <c r="A3612">
        <v>2313012849</v>
      </c>
      <c r="B3612">
        <v>2313013773</v>
      </c>
      <c r="C3612" t="str">
        <f>T("디버프 마스터 925화")</f>
        <v>디버프 마스터 925화</v>
      </c>
      <c r="D3612" t="str">
        <f>T("925")</f>
        <v>925</v>
      </c>
      <c r="E3612" t="str">
        <f t="shared" si="498"/>
        <v>담화공</v>
      </c>
      <c r="H3612" t="str">
        <f t="shared" si="497"/>
        <v>스토리위즈</v>
      </c>
      <c r="I3612" t="str">
        <f t="shared" si="499"/>
        <v>디버프 마스터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70</v>
      </c>
      <c r="AT3612" t="str">
        <f t="shared" si="500"/>
        <v>9791137602663</v>
      </c>
      <c r="AV3612" t="str">
        <f t="shared" si="501"/>
        <v>판타지 웹소설 &gt; 퓨전 판타지</v>
      </c>
    </row>
    <row r="3613" spans="1:48" x14ac:dyDescent="0.4">
      <c r="A3613">
        <v>2313012849</v>
      </c>
      <c r="B3613">
        <v>2313013774</v>
      </c>
      <c r="C3613" t="str">
        <f>T("디버프 마스터 926화")</f>
        <v>디버프 마스터 926화</v>
      </c>
      <c r="D3613" t="str">
        <f>T("926")</f>
        <v>926</v>
      </c>
      <c r="E3613" t="str">
        <f t="shared" si="498"/>
        <v>담화공</v>
      </c>
      <c r="H3613" t="str">
        <f t="shared" si="497"/>
        <v>스토리위즈</v>
      </c>
      <c r="I3613" t="str">
        <f t="shared" si="499"/>
        <v>디버프 마스터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70</v>
      </c>
      <c r="AT3613" t="str">
        <f t="shared" si="500"/>
        <v>9791137602663</v>
      </c>
      <c r="AV3613" t="str">
        <f t="shared" si="501"/>
        <v>판타지 웹소설 &gt; 퓨전 판타지</v>
      </c>
    </row>
    <row r="3614" spans="1:48" x14ac:dyDescent="0.4">
      <c r="A3614">
        <v>2313012849</v>
      </c>
      <c r="B3614">
        <v>2313013775</v>
      </c>
      <c r="C3614" t="str">
        <f>T("디버프 마스터 927화")</f>
        <v>디버프 마스터 927화</v>
      </c>
      <c r="D3614" t="str">
        <f>T("927")</f>
        <v>927</v>
      </c>
      <c r="E3614" t="str">
        <f t="shared" si="498"/>
        <v>담화공</v>
      </c>
      <c r="H3614" t="str">
        <f t="shared" si="497"/>
        <v>스토리위즈</v>
      </c>
      <c r="I3614" t="str">
        <f t="shared" si="499"/>
        <v>디버프 마스터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70</v>
      </c>
      <c r="AT3614" t="str">
        <f t="shared" si="500"/>
        <v>9791137602663</v>
      </c>
      <c r="AV3614" t="str">
        <f t="shared" si="501"/>
        <v>판타지 웹소설 &gt; 퓨전 판타지</v>
      </c>
    </row>
    <row r="3615" spans="1:48" x14ac:dyDescent="0.4">
      <c r="A3615">
        <v>2313012849</v>
      </c>
      <c r="B3615">
        <v>2313013776</v>
      </c>
      <c r="C3615" t="str">
        <f>T("디버프 마스터 928화")</f>
        <v>디버프 마스터 928화</v>
      </c>
      <c r="D3615" t="str">
        <f>T("928")</f>
        <v>928</v>
      </c>
      <c r="E3615" t="str">
        <f t="shared" si="498"/>
        <v>담화공</v>
      </c>
      <c r="H3615" t="str">
        <f t="shared" si="497"/>
        <v>스토리위즈</v>
      </c>
      <c r="I3615" t="str">
        <f t="shared" si="499"/>
        <v>디버프 마스터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70</v>
      </c>
      <c r="AT3615" t="str">
        <f t="shared" si="500"/>
        <v>9791137602663</v>
      </c>
      <c r="AV3615" t="str">
        <f t="shared" si="501"/>
        <v>판타지 웹소설 &gt; 퓨전 판타지</v>
      </c>
    </row>
    <row r="3616" spans="1:48" x14ac:dyDescent="0.4">
      <c r="A3616">
        <v>2313012849</v>
      </c>
      <c r="B3616">
        <v>2313013777</v>
      </c>
      <c r="C3616" t="str">
        <f>T("디버프 마스터 929화")</f>
        <v>디버프 마스터 929화</v>
      </c>
      <c r="D3616" t="str">
        <f>T("929")</f>
        <v>929</v>
      </c>
      <c r="E3616" t="str">
        <f t="shared" si="498"/>
        <v>담화공</v>
      </c>
      <c r="H3616" t="str">
        <f t="shared" si="497"/>
        <v>스토리위즈</v>
      </c>
      <c r="I3616" t="str">
        <f t="shared" si="499"/>
        <v>디버프 마스터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70</v>
      </c>
      <c r="AT3616" t="str">
        <f t="shared" si="500"/>
        <v>9791137602663</v>
      </c>
      <c r="AV3616" t="str">
        <f t="shared" si="501"/>
        <v>판타지 웹소설 &gt; 퓨전 판타지</v>
      </c>
    </row>
    <row r="3617" spans="1:48" x14ac:dyDescent="0.4">
      <c r="A3617">
        <v>2313012849</v>
      </c>
      <c r="B3617">
        <v>2313013778</v>
      </c>
      <c r="C3617" t="str">
        <f>T("디버프 마스터 930화")</f>
        <v>디버프 마스터 930화</v>
      </c>
      <c r="D3617" t="str">
        <f>T("930")</f>
        <v>930</v>
      </c>
      <c r="E3617" t="str">
        <f t="shared" si="498"/>
        <v>담화공</v>
      </c>
      <c r="H3617" t="str">
        <f t="shared" si="497"/>
        <v>스토리위즈</v>
      </c>
      <c r="I3617" t="str">
        <f t="shared" si="499"/>
        <v>디버프 마스터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70</v>
      </c>
      <c r="AT3617" t="str">
        <f t="shared" si="500"/>
        <v>9791137602663</v>
      </c>
      <c r="AV3617" t="str">
        <f t="shared" si="501"/>
        <v>판타지 웹소설 &gt; 퓨전 판타지</v>
      </c>
    </row>
    <row r="3618" spans="1:48" x14ac:dyDescent="0.4">
      <c r="A3618">
        <v>2313012849</v>
      </c>
      <c r="B3618">
        <v>2313013779</v>
      </c>
      <c r="C3618" t="str">
        <f>T("디버프 마스터 931화")</f>
        <v>디버프 마스터 931화</v>
      </c>
      <c r="D3618" t="str">
        <f>T("931")</f>
        <v>931</v>
      </c>
      <c r="E3618" t="str">
        <f t="shared" si="498"/>
        <v>담화공</v>
      </c>
      <c r="H3618" t="str">
        <f t="shared" si="497"/>
        <v>스토리위즈</v>
      </c>
      <c r="I3618" t="str">
        <f t="shared" si="499"/>
        <v>디버프 마스터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70</v>
      </c>
      <c r="AT3618" t="str">
        <f t="shared" si="500"/>
        <v>9791137602663</v>
      </c>
      <c r="AV3618" t="str">
        <f t="shared" si="501"/>
        <v>판타지 웹소설 &gt; 퓨전 판타지</v>
      </c>
    </row>
    <row r="3619" spans="1:48" x14ac:dyDescent="0.4">
      <c r="A3619">
        <v>2313012849</v>
      </c>
      <c r="B3619">
        <v>2313013780</v>
      </c>
      <c r="C3619" t="str">
        <f>T("디버프 마스터 932화")</f>
        <v>디버프 마스터 932화</v>
      </c>
      <c r="D3619" t="str">
        <f>T("932")</f>
        <v>932</v>
      </c>
      <c r="E3619" t="str">
        <f t="shared" si="498"/>
        <v>담화공</v>
      </c>
      <c r="H3619" t="str">
        <f t="shared" si="497"/>
        <v>스토리위즈</v>
      </c>
      <c r="I3619" t="str">
        <f t="shared" si="499"/>
        <v>디버프 마스터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70</v>
      </c>
      <c r="AT3619" t="str">
        <f t="shared" si="500"/>
        <v>9791137602663</v>
      </c>
      <c r="AV3619" t="str">
        <f t="shared" si="501"/>
        <v>판타지 웹소설 &gt; 퓨전 판타지</v>
      </c>
    </row>
    <row r="3620" spans="1:48" x14ac:dyDescent="0.4">
      <c r="A3620">
        <v>2313012849</v>
      </c>
      <c r="B3620">
        <v>2313013781</v>
      </c>
      <c r="C3620" t="str">
        <f>T("디버프 마스터 933화")</f>
        <v>디버프 마스터 933화</v>
      </c>
      <c r="D3620" t="str">
        <f>T("933")</f>
        <v>933</v>
      </c>
      <c r="E3620" t="str">
        <f t="shared" si="498"/>
        <v>담화공</v>
      </c>
      <c r="H3620" t="str">
        <f t="shared" si="497"/>
        <v>스토리위즈</v>
      </c>
      <c r="I3620" t="str">
        <f t="shared" si="499"/>
        <v>디버프 마스터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70</v>
      </c>
      <c r="AT3620" t="str">
        <f t="shared" si="500"/>
        <v>9791137602663</v>
      </c>
      <c r="AV3620" t="str">
        <f t="shared" si="501"/>
        <v>판타지 웹소설 &gt; 퓨전 판타지</v>
      </c>
    </row>
    <row r="3621" spans="1:48" x14ac:dyDescent="0.4">
      <c r="A3621">
        <v>2313012849</v>
      </c>
      <c r="B3621">
        <v>2313013782</v>
      </c>
      <c r="C3621" t="str">
        <f>T("디버프 마스터 934화")</f>
        <v>디버프 마스터 934화</v>
      </c>
      <c r="D3621" t="str">
        <f>T("934")</f>
        <v>934</v>
      </c>
      <c r="E3621" t="str">
        <f t="shared" si="498"/>
        <v>담화공</v>
      </c>
      <c r="H3621" t="str">
        <f t="shared" si="497"/>
        <v>스토리위즈</v>
      </c>
      <c r="I3621" t="str">
        <f t="shared" si="499"/>
        <v>디버프 마스터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70</v>
      </c>
      <c r="AT3621" t="str">
        <f t="shared" si="500"/>
        <v>9791137602663</v>
      </c>
      <c r="AV3621" t="str">
        <f t="shared" si="501"/>
        <v>판타지 웹소설 &gt; 퓨전 판타지</v>
      </c>
    </row>
    <row r="3622" spans="1:48" x14ac:dyDescent="0.4">
      <c r="A3622">
        <v>2313012849</v>
      </c>
      <c r="B3622">
        <v>2313013783</v>
      </c>
      <c r="C3622" t="str">
        <f>T("디버프 마스터 935화")</f>
        <v>디버프 마스터 935화</v>
      </c>
      <c r="D3622" t="str">
        <f>T("935")</f>
        <v>935</v>
      </c>
      <c r="E3622" t="str">
        <f t="shared" si="498"/>
        <v>담화공</v>
      </c>
      <c r="H3622" t="str">
        <f t="shared" si="497"/>
        <v>스토리위즈</v>
      </c>
      <c r="I3622" t="str">
        <f t="shared" si="499"/>
        <v>디버프 마스터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70</v>
      </c>
      <c r="AT3622" t="str">
        <f t="shared" si="500"/>
        <v>9791137602663</v>
      </c>
      <c r="AV3622" t="str">
        <f t="shared" si="501"/>
        <v>판타지 웹소설 &gt; 퓨전 판타지</v>
      </c>
    </row>
    <row r="3623" spans="1:48" x14ac:dyDescent="0.4">
      <c r="A3623">
        <v>2313012849</v>
      </c>
      <c r="B3623">
        <v>2313013784</v>
      </c>
      <c r="C3623" t="str">
        <f>T("디버프 마스터 936화")</f>
        <v>디버프 마스터 936화</v>
      </c>
      <c r="D3623" t="str">
        <f>T("936")</f>
        <v>936</v>
      </c>
      <c r="E3623" t="str">
        <f t="shared" si="498"/>
        <v>담화공</v>
      </c>
      <c r="H3623" t="str">
        <f t="shared" si="497"/>
        <v>스토리위즈</v>
      </c>
      <c r="I3623" t="str">
        <f t="shared" si="499"/>
        <v>디버프 마스터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70</v>
      </c>
      <c r="AT3623" t="str">
        <f t="shared" si="500"/>
        <v>9791137602663</v>
      </c>
      <c r="AV3623" t="str">
        <f t="shared" si="501"/>
        <v>판타지 웹소설 &gt; 퓨전 판타지</v>
      </c>
    </row>
    <row r="3624" spans="1:48" x14ac:dyDescent="0.4">
      <c r="A3624">
        <v>2313012849</v>
      </c>
      <c r="B3624">
        <v>2313013785</v>
      </c>
      <c r="C3624" t="str">
        <f>T("디버프 마스터 937화")</f>
        <v>디버프 마스터 937화</v>
      </c>
      <c r="D3624" t="str">
        <f>T("937")</f>
        <v>937</v>
      </c>
      <c r="E3624" t="str">
        <f t="shared" si="498"/>
        <v>담화공</v>
      </c>
      <c r="H3624" t="str">
        <f t="shared" si="497"/>
        <v>스토리위즈</v>
      </c>
      <c r="I3624" t="str">
        <f t="shared" si="499"/>
        <v>디버프 마스터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70</v>
      </c>
      <c r="AT3624" t="str">
        <f t="shared" si="500"/>
        <v>9791137602663</v>
      </c>
      <c r="AV3624" t="str">
        <f t="shared" si="501"/>
        <v>판타지 웹소설 &gt; 퓨전 판타지</v>
      </c>
    </row>
    <row r="3625" spans="1:48" x14ac:dyDescent="0.4">
      <c r="A3625">
        <v>2313012849</v>
      </c>
      <c r="B3625">
        <v>2313013786</v>
      </c>
      <c r="C3625" t="str">
        <f>T("디버프 마스터 938화")</f>
        <v>디버프 마스터 938화</v>
      </c>
      <c r="D3625" t="str">
        <f>T("938")</f>
        <v>938</v>
      </c>
      <c r="E3625" t="str">
        <f t="shared" si="498"/>
        <v>담화공</v>
      </c>
      <c r="H3625" t="str">
        <f t="shared" si="497"/>
        <v>스토리위즈</v>
      </c>
      <c r="I3625" t="str">
        <f t="shared" si="499"/>
        <v>디버프 마스터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70</v>
      </c>
      <c r="AT3625" t="str">
        <f t="shared" si="500"/>
        <v>9791137602663</v>
      </c>
      <c r="AV3625" t="str">
        <f t="shared" si="501"/>
        <v>판타지 웹소설 &gt; 퓨전 판타지</v>
      </c>
    </row>
    <row r="3626" spans="1:48" x14ac:dyDescent="0.4">
      <c r="A3626">
        <v>2313012849</v>
      </c>
      <c r="B3626">
        <v>2313013787</v>
      </c>
      <c r="C3626" t="str">
        <f>T("디버프 마스터 939화")</f>
        <v>디버프 마스터 939화</v>
      </c>
      <c r="D3626" t="str">
        <f>T("939")</f>
        <v>939</v>
      </c>
      <c r="E3626" t="str">
        <f t="shared" si="498"/>
        <v>담화공</v>
      </c>
      <c r="H3626" t="str">
        <f t="shared" si="497"/>
        <v>스토리위즈</v>
      </c>
      <c r="I3626" t="str">
        <f t="shared" si="499"/>
        <v>디버프 마스터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70</v>
      </c>
      <c r="AT3626" t="str">
        <f t="shared" si="500"/>
        <v>9791137602663</v>
      </c>
      <c r="AV3626" t="str">
        <f t="shared" si="501"/>
        <v>판타지 웹소설 &gt; 퓨전 판타지</v>
      </c>
    </row>
    <row r="3627" spans="1:48" x14ac:dyDescent="0.4">
      <c r="A3627">
        <v>2313012849</v>
      </c>
      <c r="B3627">
        <v>2313013788</v>
      </c>
      <c r="C3627" t="str">
        <f>T("디버프 마스터 940화")</f>
        <v>디버프 마스터 940화</v>
      </c>
      <c r="D3627" t="str">
        <f>T("940")</f>
        <v>940</v>
      </c>
      <c r="E3627" t="str">
        <f t="shared" si="498"/>
        <v>담화공</v>
      </c>
      <c r="H3627" t="str">
        <f t="shared" si="497"/>
        <v>스토리위즈</v>
      </c>
      <c r="I3627" t="str">
        <f t="shared" si="499"/>
        <v>디버프 마스터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70</v>
      </c>
      <c r="AT3627" t="str">
        <f t="shared" si="500"/>
        <v>9791137602663</v>
      </c>
      <c r="AV3627" t="str">
        <f t="shared" si="501"/>
        <v>판타지 웹소설 &gt; 퓨전 판타지</v>
      </c>
    </row>
    <row r="3628" spans="1:48" x14ac:dyDescent="0.4">
      <c r="A3628">
        <v>2313012849</v>
      </c>
      <c r="B3628">
        <v>2313013789</v>
      </c>
      <c r="C3628" t="str">
        <f>T("디버프 마스터 941화")</f>
        <v>디버프 마스터 941화</v>
      </c>
      <c r="D3628" t="str">
        <f>T("941")</f>
        <v>941</v>
      </c>
      <c r="E3628" t="str">
        <f t="shared" si="498"/>
        <v>담화공</v>
      </c>
      <c r="H3628" t="str">
        <f t="shared" si="497"/>
        <v>스토리위즈</v>
      </c>
      <c r="I3628" t="str">
        <f t="shared" si="499"/>
        <v>디버프 마스터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70</v>
      </c>
      <c r="AT3628" t="str">
        <f t="shared" si="500"/>
        <v>9791137602663</v>
      </c>
      <c r="AV3628" t="str">
        <f t="shared" si="501"/>
        <v>판타지 웹소설 &gt; 퓨전 판타지</v>
      </c>
    </row>
    <row r="3629" spans="1:48" x14ac:dyDescent="0.4">
      <c r="A3629">
        <v>2313012849</v>
      </c>
      <c r="B3629">
        <v>2313013790</v>
      </c>
      <c r="C3629" t="str">
        <f>T("디버프 마스터 942화")</f>
        <v>디버프 마스터 942화</v>
      </c>
      <c r="D3629" t="str">
        <f>T("942")</f>
        <v>942</v>
      </c>
      <c r="E3629" t="str">
        <f t="shared" si="498"/>
        <v>담화공</v>
      </c>
      <c r="H3629" t="str">
        <f t="shared" si="497"/>
        <v>스토리위즈</v>
      </c>
      <c r="I3629" t="str">
        <f t="shared" si="499"/>
        <v>디버프 마스터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70</v>
      </c>
      <c r="AT3629" t="str">
        <f t="shared" si="500"/>
        <v>9791137602663</v>
      </c>
      <c r="AV3629" t="str">
        <f t="shared" si="501"/>
        <v>판타지 웹소설 &gt; 퓨전 판타지</v>
      </c>
    </row>
    <row r="3630" spans="1:48" x14ac:dyDescent="0.4">
      <c r="A3630">
        <v>2313012849</v>
      </c>
      <c r="B3630">
        <v>2313013791</v>
      </c>
      <c r="C3630" t="str">
        <f>T("디버프 마스터 943화")</f>
        <v>디버프 마스터 943화</v>
      </c>
      <c r="D3630" t="str">
        <f>T("943")</f>
        <v>943</v>
      </c>
      <c r="E3630" t="str">
        <f t="shared" si="498"/>
        <v>담화공</v>
      </c>
      <c r="H3630" t="str">
        <f t="shared" si="497"/>
        <v>스토리위즈</v>
      </c>
      <c r="I3630" t="str">
        <f t="shared" si="499"/>
        <v>디버프 마스터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70</v>
      </c>
      <c r="AT3630" t="str">
        <f t="shared" si="500"/>
        <v>9791137602663</v>
      </c>
      <c r="AV3630" t="str">
        <f t="shared" si="501"/>
        <v>판타지 웹소설 &gt; 퓨전 판타지</v>
      </c>
    </row>
    <row r="3631" spans="1:48" x14ac:dyDescent="0.4">
      <c r="A3631">
        <v>2313012849</v>
      </c>
      <c r="B3631">
        <v>2313013792</v>
      </c>
      <c r="C3631" t="str">
        <f>T("디버프 마스터 944화")</f>
        <v>디버프 마스터 944화</v>
      </c>
      <c r="D3631" t="str">
        <f>T("944")</f>
        <v>944</v>
      </c>
      <c r="E3631" t="str">
        <f t="shared" si="498"/>
        <v>담화공</v>
      </c>
      <c r="H3631" t="str">
        <f t="shared" si="497"/>
        <v>스토리위즈</v>
      </c>
      <c r="I3631" t="str">
        <f t="shared" si="499"/>
        <v>디버프 마스터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70</v>
      </c>
      <c r="AT3631" t="str">
        <f t="shared" si="500"/>
        <v>9791137602663</v>
      </c>
      <c r="AV3631" t="str">
        <f t="shared" si="501"/>
        <v>판타지 웹소설 &gt; 퓨전 판타지</v>
      </c>
    </row>
    <row r="3632" spans="1:48" x14ac:dyDescent="0.4">
      <c r="A3632">
        <v>2313012849</v>
      </c>
      <c r="B3632">
        <v>2313013793</v>
      </c>
      <c r="C3632" t="str">
        <f>T("디버프 마스터 945화")</f>
        <v>디버프 마스터 945화</v>
      </c>
      <c r="D3632" t="str">
        <f>T("945")</f>
        <v>945</v>
      </c>
      <c r="E3632" t="str">
        <f t="shared" si="498"/>
        <v>담화공</v>
      </c>
      <c r="H3632" t="str">
        <f t="shared" si="497"/>
        <v>스토리위즈</v>
      </c>
      <c r="I3632" t="str">
        <f t="shared" si="499"/>
        <v>디버프 마스터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70</v>
      </c>
      <c r="AT3632" t="str">
        <f t="shared" si="500"/>
        <v>9791137602663</v>
      </c>
      <c r="AV3632" t="str">
        <f t="shared" si="501"/>
        <v>판타지 웹소설 &gt; 퓨전 판타지</v>
      </c>
    </row>
    <row r="3633" spans="1:48" x14ac:dyDescent="0.4">
      <c r="A3633">
        <v>2313012849</v>
      </c>
      <c r="B3633">
        <v>2313013794</v>
      </c>
      <c r="C3633" t="str">
        <f>T("디버프 마스터 946화")</f>
        <v>디버프 마스터 946화</v>
      </c>
      <c r="D3633" t="str">
        <f>T("946")</f>
        <v>946</v>
      </c>
      <c r="E3633" t="str">
        <f t="shared" si="498"/>
        <v>담화공</v>
      </c>
      <c r="H3633" t="str">
        <f t="shared" si="497"/>
        <v>스토리위즈</v>
      </c>
      <c r="I3633" t="str">
        <f t="shared" si="499"/>
        <v>디버프 마스터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70</v>
      </c>
      <c r="AT3633" t="str">
        <f t="shared" si="500"/>
        <v>9791137602663</v>
      </c>
      <c r="AV3633" t="str">
        <f t="shared" si="501"/>
        <v>판타지 웹소설 &gt; 퓨전 판타지</v>
      </c>
    </row>
    <row r="3634" spans="1:48" x14ac:dyDescent="0.4">
      <c r="A3634">
        <v>2313012849</v>
      </c>
      <c r="B3634">
        <v>2313013795</v>
      </c>
      <c r="C3634" t="str">
        <f>T("디버프 마스터 947화")</f>
        <v>디버프 마스터 947화</v>
      </c>
      <c r="D3634" t="str">
        <f>T("947")</f>
        <v>947</v>
      </c>
      <c r="E3634" t="str">
        <f t="shared" si="498"/>
        <v>담화공</v>
      </c>
      <c r="H3634" t="str">
        <f t="shared" si="497"/>
        <v>스토리위즈</v>
      </c>
      <c r="I3634" t="str">
        <f t="shared" si="499"/>
        <v>디버프 마스터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70</v>
      </c>
      <c r="AT3634" t="str">
        <f t="shared" si="500"/>
        <v>9791137602663</v>
      </c>
      <c r="AV3634" t="str">
        <f t="shared" si="501"/>
        <v>판타지 웹소설 &gt; 퓨전 판타지</v>
      </c>
    </row>
    <row r="3635" spans="1:48" x14ac:dyDescent="0.4">
      <c r="A3635">
        <v>2313012849</v>
      </c>
      <c r="B3635">
        <v>2313013796</v>
      </c>
      <c r="C3635" t="str">
        <f>T("디버프 마스터 948화")</f>
        <v>디버프 마스터 948화</v>
      </c>
      <c r="D3635" t="str">
        <f>T("948")</f>
        <v>948</v>
      </c>
      <c r="E3635" t="str">
        <f t="shared" si="498"/>
        <v>담화공</v>
      </c>
      <c r="H3635" t="str">
        <f t="shared" si="497"/>
        <v>스토리위즈</v>
      </c>
      <c r="I3635" t="str">
        <f t="shared" si="499"/>
        <v>디버프 마스터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70</v>
      </c>
      <c r="AT3635" t="str">
        <f t="shared" si="500"/>
        <v>9791137602663</v>
      </c>
      <c r="AV3635" t="str">
        <f t="shared" si="501"/>
        <v>판타지 웹소설 &gt; 퓨전 판타지</v>
      </c>
    </row>
    <row r="3636" spans="1:48" x14ac:dyDescent="0.4">
      <c r="A3636">
        <v>2313012849</v>
      </c>
      <c r="B3636">
        <v>2313013797</v>
      </c>
      <c r="C3636" t="str">
        <f>T("디버프 마스터 949화")</f>
        <v>디버프 마스터 949화</v>
      </c>
      <c r="D3636" t="str">
        <f>T("949")</f>
        <v>949</v>
      </c>
      <c r="E3636" t="str">
        <f t="shared" si="498"/>
        <v>담화공</v>
      </c>
      <c r="H3636" t="str">
        <f t="shared" si="497"/>
        <v>스토리위즈</v>
      </c>
      <c r="I3636" t="str">
        <f t="shared" si="499"/>
        <v>디버프 마스터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70</v>
      </c>
      <c r="AT3636" t="str">
        <f t="shared" si="500"/>
        <v>9791137602663</v>
      </c>
      <c r="AV3636" t="str">
        <f t="shared" si="501"/>
        <v>판타지 웹소설 &gt; 퓨전 판타지</v>
      </c>
    </row>
    <row r="3637" spans="1:48" x14ac:dyDescent="0.4">
      <c r="A3637">
        <v>2313012849</v>
      </c>
      <c r="B3637">
        <v>2313013798</v>
      </c>
      <c r="C3637" t="str">
        <f>T("디버프 마스터 950화")</f>
        <v>디버프 마스터 950화</v>
      </c>
      <c r="D3637" t="str">
        <f>T("950")</f>
        <v>950</v>
      </c>
      <c r="E3637" t="str">
        <f t="shared" si="498"/>
        <v>담화공</v>
      </c>
      <c r="H3637" t="str">
        <f t="shared" si="497"/>
        <v>스토리위즈</v>
      </c>
      <c r="I3637" t="str">
        <f t="shared" si="499"/>
        <v>디버프 마스터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70</v>
      </c>
      <c r="AT3637" t="str">
        <f t="shared" si="500"/>
        <v>9791137602663</v>
      </c>
      <c r="AV3637" t="str">
        <f t="shared" si="501"/>
        <v>판타지 웹소설 &gt; 퓨전 판타지</v>
      </c>
    </row>
    <row r="3638" spans="1:48" x14ac:dyDescent="0.4">
      <c r="A3638">
        <v>2313012849</v>
      </c>
      <c r="B3638">
        <v>2313013799</v>
      </c>
      <c r="C3638" t="str">
        <f>T("디버프 마스터 951화")</f>
        <v>디버프 마스터 951화</v>
      </c>
      <c r="D3638" t="str">
        <f>T("951")</f>
        <v>951</v>
      </c>
      <c r="E3638" t="str">
        <f t="shared" si="498"/>
        <v>담화공</v>
      </c>
      <c r="H3638" t="str">
        <f t="shared" si="497"/>
        <v>스토리위즈</v>
      </c>
      <c r="I3638" t="str">
        <f t="shared" si="499"/>
        <v>디버프 마스터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70</v>
      </c>
      <c r="AT3638" t="str">
        <f t="shared" si="500"/>
        <v>9791137602663</v>
      </c>
      <c r="AV3638" t="str">
        <f t="shared" si="501"/>
        <v>판타지 웹소설 &gt; 퓨전 판타지</v>
      </c>
    </row>
    <row r="3639" spans="1:48" x14ac:dyDescent="0.4">
      <c r="A3639">
        <v>2313012849</v>
      </c>
      <c r="B3639">
        <v>2313013800</v>
      </c>
      <c r="C3639" t="str">
        <f>T("디버프 마스터 952화")</f>
        <v>디버프 마스터 952화</v>
      </c>
      <c r="D3639" t="str">
        <f>T("952")</f>
        <v>952</v>
      </c>
      <c r="E3639" t="str">
        <f t="shared" si="498"/>
        <v>담화공</v>
      </c>
      <c r="H3639" t="str">
        <f t="shared" si="497"/>
        <v>스토리위즈</v>
      </c>
      <c r="I3639" t="str">
        <f t="shared" si="499"/>
        <v>디버프 마스터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70</v>
      </c>
      <c r="AT3639" t="str">
        <f t="shared" si="500"/>
        <v>9791137602663</v>
      </c>
      <c r="AV3639" t="str">
        <f t="shared" si="501"/>
        <v>판타지 웹소설 &gt; 퓨전 판타지</v>
      </c>
    </row>
    <row r="3640" spans="1:48" x14ac:dyDescent="0.4">
      <c r="A3640">
        <v>2313012849</v>
      </c>
      <c r="B3640">
        <v>2313013801</v>
      </c>
      <c r="C3640" t="str">
        <f>T("디버프 마스터 953화")</f>
        <v>디버프 마스터 953화</v>
      </c>
      <c r="D3640" t="str">
        <f>T("953")</f>
        <v>953</v>
      </c>
      <c r="E3640" t="str">
        <f t="shared" si="498"/>
        <v>담화공</v>
      </c>
      <c r="H3640" t="str">
        <f t="shared" si="497"/>
        <v>스토리위즈</v>
      </c>
      <c r="I3640" t="str">
        <f t="shared" si="499"/>
        <v>디버프 마스터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70</v>
      </c>
      <c r="AT3640" t="str">
        <f t="shared" si="500"/>
        <v>9791137602663</v>
      </c>
      <c r="AV3640" t="str">
        <f t="shared" si="501"/>
        <v>판타지 웹소설 &gt; 퓨전 판타지</v>
      </c>
    </row>
    <row r="3641" spans="1:48" x14ac:dyDescent="0.4">
      <c r="A3641">
        <v>2313012849</v>
      </c>
      <c r="B3641">
        <v>2313013802</v>
      </c>
      <c r="C3641" t="str">
        <f>T("디버프 마스터 954화")</f>
        <v>디버프 마스터 954화</v>
      </c>
      <c r="D3641" t="str">
        <f>T("954")</f>
        <v>954</v>
      </c>
      <c r="E3641" t="str">
        <f t="shared" si="498"/>
        <v>담화공</v>
      </c>
      <c r="H3641" t="str">
        <f t="shared" ref="H3641:H3704" si="502">T("스토리위즈")</f>
        <v>스토리위즈</v>
      </c>
      <c r="I3641" t="str">
        <f t="shared" si="499"/>
        <v>디버프 마스터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70</v>
      </c>
      <c r="AT3641" t="str">
        <f t="shared" si="500"/>
        <v>9791137602663</v>
      </c>
      <c r="AV3641" t="str">
        <f t="shared" si="501"/>
        <v>판타지 웹소설 &gt; 퓨전 판타지</v>
      </c>
    </row>
    <row r="3642" spans="1:48" x14ac:dyDescent="0.4">
      <c r="A3642">
        <v>2313012849</v>
      </c>
      <c r="B3642">
        <v>2313013803</v>
      </c>
      <c r="C3642" t="str">
        <f>T("디버프 마스터 955화")</f>
        <v>디버프 마스터 955화</v>
      </c>
      <c r="D3642" t="str">
        <f>T("955")</f>
        <v>955</v>
      </c>
      <c r="E3642" t="str">
        <f t="shared" si="498"/>
        <v>담화공</v>
      </c>
      <c r="H3642" t="str">
        <f t="shared" si="502"/>
        <v>스토리위즈</v>
      </c>
      <c r="I3642" t="str">
        <f t="shared" si="499"/>
        <v>디버프 마스터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70</v>
      </c>
      <c r="AT3642" t="str">
        <f t="shared" si="500"/>
        <v>9791137602663</v>
      </c>
      <c r="AV3642" t="str">
        <f t="shared" si="501"/>
        <v>판타지 웹소설 &gt; 퓨전 판타지</v>
      </c>
    </row>
    <row r="3643" spans="1:48" x14ac:dyDescent="0.4">
      <c r="A3643">
        <v>2313012849</v>
      </c>
      <c r="B3643">
        <v>2313013804</v>
      </c>
      <c r="C3643" t="str">
        <f>T("디버프 마스터 956화")</f>
        <v>디버프 마스터 956화</v>
      </c>
      <c r="D3643" t="str">
        <f>T("956")</f>
        <v>956</v>
      </c>
      <c r="E3643" t="str">
        <f t="shared" si="498"/>
        <v>담화공</v>
      </c>
      <c r="H3643" t="str">
        <f t="shared" si="502"/>
        <v>스토리위즈</v>
      </c>
      <c r="I3643" t="str">
        <f t="shared" si="499"/>
        <v>디버프 마스터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70</v>
      </c>
      <c r="AT3643" t="str">
        <f t="shared" si="500"/>
        <v>9791137602663</v>
      </c>
      <c r="AV3643" t="str">
        <f t="shared" si="501"/>
        <v>판타지 웹소설 &gt; 퓨전 판타지</v>
      </c>
    </row>
    <row r="3644" spans="1:48" x14ac:dyDescent="0.4">
      <c r="A3644">
        <v>2313012849</v>
      </c>
      <c r="B3644">
        <v>2313013805</v>
      </c>
      <c r="C3644" t="str">
        <f>T("디버프 마스터 957화")</f>
        <v>디버프 마스터 957화</v>
      </c>
      <c r="D3644" t="str">
        <f>T("957")</f>
        <v>957</v>
      </c>
      <c r="E3644" t="str">
        <f t="shared" si="498"/>
        <v>담화공</v>
      </c>
      <c r="H3644" t="str">
        <f t="shared" si="502"/>
        <v>스토리위즈</v>
      </c>
      <c r="I3644" t="str">
        <f t="shared" si="499"/>
        <v>디버프 마스터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70</v>
      </c>
      <c r="AT3644" t="str">
        <f t="shared" si="500"/>
        <v>9791137602663</v>
      </c>
      <c r="AV3644" t="str">
        <f t="shared" si="501"/>
        <v>판타지 웹소설 &gt; 퓨전 판타지</v>
      </c>
    </row>
    <row r="3645" spans="1:48" x14ac:dyDescent="0.4">
      <c r="A3645">
        <v>2313012849</v>
      </c>
      <c r="B3645">
        <v>2313013806</v>
      </c>
      <c r="C3645" t="str">
        <f>T("디버프 마스터 958화")</f>
        <v>디버프 마스터 958화</v>
      </c>
      <c r="D3645" t="str">
        <f>T("958")</f>
        <v>958</v>
      </c>
      <c r="E3645" t="str">
        <f t="shared" si="498"/>
        <v>담화공</v>
      </c>
      <c r="H3645" t="str">
        <f t="shared" si="502"/>
        <v>스토리위즈</v>
      </c>
      <c r="I3645" t="str">
        <f t="shared" si="499"/>
        <v>디버프 마스터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70</v>
      </c>
      <c r="AT3645" t="str">
        <f t="shared" si="500"/>
        <v>9791137602663</v>
      </c>
      <c r="AV3645" t="str">
        <f t="shared" si="501"/>
        <v>판타지 웹소설 &gt; 퓨전 판타지</v>
      </c>
    </row>
    <row r="3646" spans="1:48" x14ac:dyDescent="0.4">
      <c r="A3646">
        <v>2313012849</v>
      </c>
      <c r="B3646">
        <v>2313013807</v>
      </c>
      <c r="C3646" t="str">
        <f>T("디버프 마스터 959화")</f>
        <v>디버프 마스터 959화</v>
      </c>
      <c r="D3646" t="str">
        <f>T("959")</f>
        <v>959</v>
      </c>
      <c r="E3646" t="str">
        <f t="shared" si="498"/>
        <v>담화공</v>
      </c>
      <c r="H3646" t="str">
        <f t="shared" si="502"/>
        <v>스토리위즈</v>
      </c>
      <c r="I3646" t="str">
        <f t="shared" si="499"/>
        <v>디버프 마스터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70</v>
      </c>
      <c r="AT3646" t="str">
        <f t="shared" si="500"/>
        <v>9791137602663</v>
      </c>
      <c r="AV3646" t="str">
        <f t="shared" si="501"/>
        <v>판타지 웹소설 &gt; 퓨전 판타지</v>
      </c>
    </row>
    <row r="3647" spans="1:48" x14ac:dyDescent="0.4">
      <c r="A3647">
        <v>2313012849</v>
      </c>
      <c r="B3647">
        <v>2313013808</v>
      </c>
      <c r="C3647" t="str">
        <f>T("디버프 마스터 960화")</f>
        <v>디버프 마스터 960화</v>
      </c>
      <c r="D3647" t="str">
        <f>T("960")</f>
        <v>960</v>
      </c>
      <c r="E3647" t="str">
        <f t="shared" si="498"/>
        <v>담화공</v>
      </c>
      <c r="H3647" t="str">
        <f t="shared" si="502"/>
        <v>스토리위즈</v>
      </c>
      <c r="I3647" t="str">
        <f t="shared" si="499"/>
        <v>디버프 마스터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70</v>
      </c>
      <c r="AT3647" t="str">
        <f t="shared" si="500"/>
        <v>9791137602663</v>
      </c>
      <c r="AV3647" t="str">
        <f t="shared" si="501"/>
        <v>판타지 웹소설 &gt; 퓨전 판타지</v>
      </c>
    </row>
    <row r="3648" spans="1:48" x14ac:dyDescent="0.4">
      <c r="A3648">
        <v>2313012849</v>
      </c>
      <c r="B3648">
        <v>2313013809</v>
      </c>
      <c r="C3648" t="str">
        <f>T("디버프 마스터 961화")</f>
        <v>디버프 마스터 961화</v>
      </c>
      <c r="D3648" t="str">
        <f>T("961")</f>
        <v>961</v>
      </c>
      <c r="E3648" t="str">
        <f t="shared" si="498"/>
        <v>담화공</v>
      </c>
      <c r="H3648" t="str">
        <f t="shared" si="502"/>
        <v>스토리위즈</v>
      </c>
      <c r="I3648" t="str">
        <f t="shared" si="499"/>
        <v>디버프 마스터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70</v>
      </c>
      <c r="AT3648" t="str">
        <f t="shared" si="500"/>
        <v>9791137602663</v>
      </c>
      <c r="AV3648" t="str">
        <f t="shared" si="501"/>
        <v>판타지 웹소설 &gt; 퓨전 판타지</v>
      </c>
    </row>
    <row r="3649" spans="1:48" x14ac:dyDescent="0.4">
      <c r="A3649">
        <v>2313012849</v>
      </c>
      <c r="B3649">
        <v>2313013810</v>
      </c>
      <c r="C3649" t="str">
        <f>T("디버프 마스터 962화")</f>
        <v>디버프 마스터 962화</v>
      </c>
      <c r="D3649" t="str">
        <f>T("962")</f>
        <v>962</v>
      </c>
      <c r="E3649" t="str">
        <f t="shared" si="498"/>
        <v>담화공</v>
      </c>
      <c r="H3649" t="str">
        <f t="shared" si="502"/>
        <v>스토리위즈</v>
      </c>
      <c r="I3649" t="str">
        <f t="shared" si="499"/>
        <v>디버프 마스터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70</v>
      </c>
      <c r="AT3649" t="str">
        <f t="shared" si="500"/>
        <v>9791137602663</v>
      </c>
      <c r="AV3649" t="str">
        <f t="shared" si="501"/>
        <v>판타지 웹소설 &gt; 퓨전 판타지</v>
      </c>
    </row>
    <row r="3650" spans="1:48" x14ac:dyDescent="0.4">
      <c r="A3650">
        <v>2313012849</v>
      </c>
      <c r="B3650">
        <v>2313013811</v>
      </c>
      <c r="C3650" t="str">
        <f>T("디버프 마스터 963화")</f>
        <v>디버프 마스터 963화</v>
      </c>
      <c r="D3650" t="str">
        <f>T("963")</f>
        <v>963</v>
      </c>
      <c r="E3650" t="str">
        <f t="shared" si="498"/>
        <v>담화공</v>
      </c>
      <c r="H3650" t="str">
        <f t="shared" si="502"/>
        <v>스토리위즈</v>
      </c>
      <c r="I3650" t="str">
        <f t="shared" si="499"/>
        <v>디버프 마스터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70</v>
      </c>
      <c r="AT3650" t="str">
        <f t="shared" si="500"/>
        <v>9791137602663</v>
      </c>
      <c r="AV3650" t="str">
        <f t="shared" si="501"/>
        <v>판타지 웹소설 &gt; 퓨전 판타지</v>
      </c>
    </row>
    <row r="3651" spans="1:48" x14ac:dyDescent="0.4">
      <c r="A3651">
        <v>2313012849</v>
      </c>
      <c r="B3651">
        <v>2313013812</v>
      </c>
      <c r="C3651" t="str">
        <f>T("디버프 마스터 964화")</f>
        <v>디버프 마스터 964화</v>
      </c>
      <c r="D3651" t="str">
        <f>T("964")</f>
        <v>964</v>
      </c>
      <c r="E3651" t="str">
        <f t="shared" si="498"/>
        <v>담화공</v>
      </c>
      <c r="H3651" t="str">
        <f t="shared" si="502"/>
        <v>스토리위즈</v>
      </c>
      <c r="I3651" t="str">
        <f t="shared" si="499"/>
        <v>디버프 마스터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70</v>
      </c>
      <c r="AT3651" t="str">
        <f t="shared" si="500"/>
        <v>9791137602663</v>
      </c>
      <c r="AV3651" t="str">
        <f t="shared" si="501"/>
        <v>판타지 웹소설 &gt; 퓨전 판타지</v>
      </c>
    </row>
    <row r="3652" spans="1:48" x14ac:dyDescent="0.4">
      <c r="A3652">
        <v>2313012849</v>
      </c>
      <c r="B3652">
        <v>2313013813</v>
      </c>
      <c r="C3652" t="str">
        <f>T("디버프 마스터 965화")</f>
        <v>디버프 마스터 965화</v>
      </c>
      <c r="D3652" t="str">
        <f>T("965")</f>
        <v>965</v>
      </c>
      <c r="E3652" t="str">
        <f t="shared" si="498"/>
        <v>담화공</v>
      </c>
      <c r="H3652" t="str">
        <f t="shared" si="502"/>
        <v>스토리위즈</v>
      </c>
      <c r="I3652" t="str">
        <f t="shared" si="499"/>
        <v>디버프 마스터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70</v>
      </c>
      <c r="AT3652" t="str">
        <f t="shared" si="500"/>
        <v>9791137602663</v>
      </c>
      <c r="AV3652" t="str">
        <f t="shared" si="501"/>
        <v>판타지 웹소설 &gt; 퓨전 판타지</v>
      </c>
    </row>
    <row r="3653" spans="1:48" x14ac:dyDescent="0.4">
      <c r="A3653">
        <v>2313012849</v>
      </c>
      <c r="B3653">
        <v>2313013814</v>
      </c>
      <c r="C3653" t="str">
        <f>T("디버프 마스터 966화")</f>
        <v>디버프 마스터 966화</v>
      </c>
      <c r="D3653" t="str">
        <f>T("966")</f>
        <v>966</v>
      </c>
      <c r="E3653" t="str">
        <f t="shared" si="498"/>
        <v>담화공</v>
      </c>
      <c r="H3653" t="str">
        <f t="shared" si="502"/>
        <v>스토리위즈</v>
      </c>
      <c r="I3653" t="str">
        <f t="shared" si="499"/>
        <v>디버프 마스터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70</v>
      </c>
      <c r="AT3653" t="str">
        <f t="shared" si="500"/>
        <v>9791137602663</v>
      </c>
      <c r="AV3653" t="str">
        <f t="shared" si="501"/>
        <v>판타지 웹소설 &gt; 퓨전 판타지</v>
      </c>
    </row>
    <row r="3654" spans="1:48" x14ac:dyDescent="0.4">
      <c r="A3654">
        <v>2313012849</v>
      </c>
      <c r="B3654">
        <v>2313013815</v>
      </c>
      <c r="C3654" t="str">
        <f>T("디버프 마스터 967화")</f>
        <v>디버프 마스터 967화</v>
      </c>
      <c r="D3654" t="str">
        <f>T("967")</f>
        <v>967</v>
      </c>
      <c r="E3654" t="str">
        <f t="shared" si="498"/>
        <v>담화공</v>
      </c>
      <c r="H3654" t="str">
        <f t="shared" si="502"/>
        <v>스토리위즈</v>
      </c>
      <c r="I3654" t="str">
        <f t="shared" si="499"/>
        <v>디버프 마스터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70</v>
      </c>
      <c r="AT3654" t="str">
        <f t="shared" si="500"/>
        <v>9791137602663</v>
      </c>
      <c r="AV3654" t="str">
        <f t="shared" si="501"/>
        <v>판타지 웹소설 &gt; 퓨전 판타지</v>
      </c>
    </row>
    <row r="3655" spans="1:48" x14ac:dyDescent="0.4">
      <c r="A3655">
        <v>2313012849</v>
      </c>
      <c r="B3655">
        <v>2313013816</v>
      </c>
      <c r="C3655" t="str">
        <f>T("디버프 마스터 968화")</f>
        <v>디버프 마스터 968화</v>
      </c>
      <c r="D3655" t="str">
        <f>T("968")</f>
        <v>968</v>
      </c>
      <c r="E3655" t="str">
        <f t="shared" si="498"/>
        <v>담화공</v>
      </c>
      <c r="H3655" t="str">
        <f t="shared" si="502"/>
        <v>스토리위즈</v>
      </c>
      <c r="I3655" t="str">
        <f t="shared" si="499"/>
        <v>디버프 마스터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70</v>
      </c>
      <c r="AT3655" t="str">
        <f t="shared" si="500"/>
        <v>9791137602663</v>
      </c>
      <c r="AV3655" t="str">
        <f t="shared" si="501"/>
        <v>판타지 웹소설 &gt; 퓨전 판타지</v>
      </c>
    </row>
    <row r="3656" spans="1:48" x14ac:dyDescent="0.4">
      <c r="A3656">
        <v>2313012849</v>
      </c>
      <c r="B3656">
        <v>2313013817</v>
      </c>
      <c r="C3656" t="str">
        <f>T("디버프 마스터 969화")</f>
        <v>디버프 마스터 969화</v>
      </c>
      <c r="D3656" t="str">
        <f>T("969")</f>
        <v>969</v>
      </c>
      <c r="E3656" t="str">
        <f t="shared" ref="E3656:E3719" si="503">T("담화공")</f>
        <v>담화공</v>
      </c>
      <c r="H3656" t="str">
        <f t="shared" si="502"/>
        <v>스토리위즈</v>
      </c>
      <c r="I3656" t="str">
        <f t="shared" ref="I3656:I3719" si="504">T("디버프 마스터")</f>
        <v>디버프 마스터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70</v>
      </c>
      <c r="AT3656" t="str">
        <f t="shared" ref="AT3656:AT3719" si="505">T("9791137602663")</f>
        <v>9791137602663</v>
      </c>
      <c r="AV3656" t="str">
        <f t="shared" ref="AV3656:AV3719" si="506">T("판타지 웹소설 &gt; 퓨전 판타지")</f>
        <v>판타지 웹소설 &gt; 퓨전 판타지</v>
      </c>
    </row>
    <row r="3657" spans="1:48" x14ac:dyDescent="0.4">
      <c r="A3657">
        <v>2313012849</v>
      </c>
      <c r="B3657">
        <v>2313013818</v>
      </c>
      <c r="C3657" t="str">
        <f>T("디버프 마스터 970화")</f>
        <v>디버프 마스터 970화</v>
      </c>
      <c r="D3657" t="str">
        <f>T("970")</f>
        <v>970</v>
      </c>
      <c r="E3657" t="str">
        <f t="shared" si="503"/>
        <v>담화공</v>
      </c>
      <c r="H3657" t="str">
        <f t="shared" si="502"/>
        <v>스토리위즈</v>
      </c>
      <c r="I3657" t="str">
        <f t="shared" si="504"/>
        <v>디버프 마스터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70</v>
      </c>
      <c r="AT3657" t="str">
        <f t="shared" si="505"/>
        <v>9791137602663</v>
      </c>
      <c r="AV3657" t="str">
        <f t="shared" si="506"/>
        <v>판타지 웹소설 &gt; 퓨전 판타지</v>
      </c>
    </row>
    <row r="3658" spans="1:48" x14ac:dyDescent="0.4">
      <c r="A3658">
        <v>2313012849</v>
      </c>
      <c r="B3658">
        <v>2313013819</v>
      </c>
      <c r="C3658" t="str">
        <f>T("디버프 마스터 971화")</f>
        <v>디버프 마스터 971화</v>
      </c>
      <c r="D3658" t="str">
        <f>T("971")</f>
        <v>971</v>
      </c>
      <c r="E3658" t="str">
        <f t="shared" si="503"/>
        <v>담화공</v>
      </c>
      <c r="H3658" t="str">
        <f t="shared" si="502"/>
        <v>스토리위즈</v>
      </c>
      <c r="I3658" t="str">
        <f t="shared" si="504"/>
        <v>디버프 마스터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70</v>
      </c>
      <c r="AT3658" t="str">
        <f t="shared" si="505"/>
        <v>9791137602663</v>
      </c>
      <c r="AV3658" t="str">
        <f t="shared" si="506"/>
        <v>판타지 웹소설 &gt; 퓨전 판타지</v>
      </c>
    </row>
    <row r="3659" spans="1:48" x14ac:dyDescent="0.4">
      <c r="A3659">
        <v>2313012849</v>
      </c>
      <c r="B3659">
        <v>2313013820</v>
      </c>
      <c r="C3659" t="str">
        <f>T("디버프 마스터 972화")</f>
        <v>디버프 마스터 972화</v>
      </c>
      <c r="D3659" t="str">
        <f>T("972")</f>
        <v>972</v>
      </c>
      <c r="E3659" t="str">
        <f t="shared" si="503"/>
        <v>담화공</v>
      </c>
      <c r="H3659" t="str">
        <f t="shared" si="502"/>
        <v>스토리위즈</v>
      </c>
      <c r="I3659" t="str">
        <f t="shared" si="504"/>
        <v>디버프 마스터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70</v>
      </c>
      <c r="AT3659" t="str">
        <f t="shared" si="505"/>
        <v>9791137602663</v>
      </c>
      <c r="AV3659" t="str">
        <f t="shared" si="506"/>
        <v>판타지 웹소설 &gt; 퓨전 판타지</v>
      </c>
    </row>
    <row r="3660" spans="1:48" x14ac:dyDescent="0.4">
      <c r="A3660">
        <v>2313012849</v>
      </c>
      <c r="B3660">
        <v>2313013821</v>
      </c>
      <c r="C3660" t="str">
        <f>T("디버프 마스터 973화")</f>
        <v>디버프 마스터 973화</v>
      </c>
      <c r="D3660" t="str">
        <f>T("973")</f>
        <v>973</v>
      </c>
      <c r="E3660" t="str">
        <f t="shared" si="503"/>
        <v>담화공</v>
      </c>
      <c r="H3660" t="str">
        <f t="shared" si="502"/>
        <v>스토리위즈</v>
      </c>
      <c r="I3660" t="str">
        <f t="shared" si="504"/>
        <v>디버프 마스터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70</v>
      </c>
      <c r="AT3660" t="str">
        <f t="shared" si="505"/>
        <v>9791137602663</v>
      </c>
      <c r="AV3660" t="str">
        <f t="shared" si="506"/>
        <v>판타지 웹소설 &gt; 퓨전 판타지</v>
      </c>
    </row>
    <row r="3661" spans="1:48" x14ac:dyDescent="0.4">
      <c r="A3661">
        <v>2313012849</v>
      </c>
      <c r="B3661">
        <v>2313013822</v>
      </c>
      <c r="C3661" t="str">
        <f>T("디버프 마스터 974화")</f>
        <v>디버프 마스터 974화</v>
      </c>
      <c r="D3661" t="str">
        <f>T("974")</f>
        <v>974</v>
      </c>
      <c r="E3661" t="str">
        <f t="shared" si="503"/>
        <v>담화공</v>
      </c>
      <c r="H3661" t="str">
        <f t="shared" si="502"/>
        <v>스토리위즈</v>
      </c>
      <c r="I3661" t="str">
        <f t="shared" si="504"/>
        <v>디버프 마스터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70</v>
      </c>
      <c r="AT3661" t="str">
        <f t="shared" si="505"/>
        <v>9791137602663</v>
      </c>
      <c r="AV3661" t="str">
        <f t="shared" si="506"/>
        <v>판타지 웹소설 &gt; 퓨전 판타지</v>
      </c>
    </row>
    <row r="3662" spans="1:48" x14ac:dyDescent="0.4">
      <c r="A3662">
        <v>2313012849</v>
      </c>
      <c r="B3662">
        <v>2313013823</v>
      </c>
      <c r="C3662" t="str">
        <f>T("디버프 마스터 975화")</f>
        <v>디버프 마스터 975화</v>
      </c>
      <c r="D3662" t="str">
        <f>T("975")</f>
        <v>975</v>
      </c>
      <c r="E3662" t="str">
        <f t="shared" si="503"/>
        <v>담화공</v>
      </c>
      <c r="H3662" t="str">
        <f t="shared" si="502"/>
        <v>스토리위즈</v>
      </c>
      <c r="I3662" t="str">
        <f t="shared" si="504"/>
        <v>디버프 마스터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70</v>
      </c>
      <c r="AT3662" t="str">
        <f t="shared" si="505"/>
        <v>9791137602663</v>
      </c>
      <c r="AV3662" t="str">
        <f t="shared" si="506"/>
        <v>판타지 웹소설 &gt; 퓨전 판타지</v>
      </c>
    </row>
    <row r="3663" spans="1:48" x14ac:dyDescent="0.4">
      <c r="A3663">
        <v>2313012849</v>
      </c>
      <c r="B3663">
        <v>2313013824</v>
      </c>
      <c r="C3663" t="str">
        <f>T("디버프 마스터 976화")</f>
        <v>디버프 마스터 976화</v>
      </c>
      <c r="D3663" t="str">
        <f>T("976")</f>
        <v>976</v>
      </c>
      <c r="E3663" t="str">
        <f t="shared" si="503"/>
        <v>담화공</v>
      </c>
      <c r="H3663" t="str">
        <f t="shared" si="502"/>
        <v>스토리위즈</v>
      </c>
      <c r="I3663" t="str">
        <f t="shared" si="504"/>
        <v>디버프 마스터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70</v>
      </c>
      <c r="AT3663" t="str">
        <f t="shared" si="505"/>
        <v>9791137602663</v>
      </c>
      <c r="AV3663" t="str">
        <f t="shared" si="506"/>
        <v>판타지 웹소설 &gt; 퓨전 판타지</v>
      </c>
    </row>
    <row r="3664" spans="1:48" x14ac:dyDescent="0.4">
      <c r="A3664">
        <v>2313012849</v>
      </c>
      <c r="B3664">
        <v>2313013825</v>
      </c>
      <c r="C3664" t="str">
        <f>T("디버프 마스터 977화")</f>
        <v>디버프 마스터 977화</v>
      </c>
      <c r="D3664" t="str">
        <f>T("977")</f>
        <v>977</v>
      </c>
      <c r="E3664" t="str">
        <f t="shared" si="503"/>
        <v>담화공</v>
      </c>
      <c r="H3664" t="str">
        <f t="shared" si="502"/>
        <v>스토리위즈</v>
      </c>
      <c r="I3664" t="str">
        <f t="shared" si="504"/>
        <v>디버프 마스터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70</v>
      </c>
      <c r="AT3664" t="str">
        <f t="shared" si="505"/>
        <v>9791137602663</v>
      </c>
      <c r="AV3664" t="str">
        <f t="shared" si="506"/>
        <v>판타지 웹소설 &gt; 퓨전 판타지</v>
      </c>
    </row>
    <row r="3665" spans="1:48" x14ac:dyDescent="0.4">
      <c r="A3665">
        <v>2313012849</v>
      </c>
      <c r="B3665">
        <v>2313013826</v>
      </c>
      <c r="C3665" t="str">
        <f>T("디버프 마스터 978화")</f>
        <v>디버프 마스터 978화</v>
      </c>
      <c r="D3665" t="str">
        <f>T("978")</f>
        <v>978</v>
      </c>
      <c r="E3665" t="str">
        <f t="shared" si="503"/>
        <v>담화공</v>
      </c>
      <c r="H3665" t="str">
        <f t="shared" si="502"/>
        <v>스토리위즈</v>
      </c>
      <c r="I3665" t="str">
        <f t="shared" si="504"/>
        <v>디버프 마스터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70</v>
      </c>
      <c r="AT3665" t="str">
        <f t="shared" si="505"/>
        <v>9791137602663</v>
      </c>
      <c r="AV3665" t="str">
        <f t="shared" si="506"/>
        <v>판타지 웹소설 &gt; 퓨전 판타지</v>
      </c>
    </row>
    <row r="3666" spans="1:48" x14ac:dyDescent="0.4">
      <c r="A3666">
        <v>2313012849</v>
      </c>
      <c r="B3666">
        <v>2313013827</v>
      </c>
      <c r="C3666" t="str">
        <f>T("디버프 마스터 979화")</f>
        <v>디버프 마스터 979화</v>
      </c>
      <c r="D3666" t="str">
        <f>T("979")</f>
        <v>979</v>
      </c>
      <c r="E3666" t="str">
        <f t="shared" si="503"/>
        <v>담화공</v>
      </c>
      <c r="H3666" t="str">
        <f t="shared" si="502"/>
        <v>스토리위즈</v>
      </c>
      <c r="I3666" t="str">
        <f t="shared" si="504"/>
        <v>디버프 마스터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70</v>
      </c>
      <c r="AT3666" t="str">
        <f t="shared" si="505"/>
        <v>9791137602663</v>
      </c>
      <c r="AV3666" t="str">
        <f t="shared" si="506"/>
        <v>판타지 웹소설 &gt; 퓨전 판타지</v>
      </c>
    </row>
    <row r="3667" spans="1:48" x14ac:dyDescent="0.4">
      <c r="A3667">
        <v>2313012849</v>
      </c>
      <c r="B3667">
        <v>2313013828</v>
      </c>
      <c r="C3667" t="str">
        <f>T("디버프 마스터 980화")</f>
        <v>디버프 마스터 980화</v>
      </c>
      <c r="D3667" t="str">
        <f>T("980")</f>
        <v>980</v>
      </c>
      <c r="E3667" t="str">
        <f t="shared" si="503"/>
        <v>담화공</v>
      </c>
      <c r="H3667" t="str">
        <f t="shared" si="502"/>
        <v>스토리위즈</v>
      </c>
      <c r="I3667" t="str">
        <f t="shared" si="504"/>
        <v>디버프 마스터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70</v>
      </c>
      <c r="AT3667" t="str">
        <f t="shared" si="505"/>
        <v>9791137602663</v>
      </c>
      <c r="AV3667" t="str">
        <f t="shared" si="506"/>
        <v>판타지 웹소설 &gt; 퓨전 판타지</v>
      </c>
    </row>
    <row r="3668" spans="1:48" x14ac:dyDescent="0.4">
      <c r="A3668">
        <v>2313012849</v>
      </c>
      <c r="B3668">
        <v>2313013829</v>
      </c>
      <c r="C3668" t="str">
        <f>T("디버프 마스터 981화")</f>
        <v>디버프 마스터 981화</v>
      </c>
      <c r="D3668" t="str">
        <f>T("981")</f>
        <v>981</v>
      </c>
      <c r="E3668" t="str">
        <f t="shared" si="503"/>
        <v>담화공</v>
      </c>
      <c r="H3668" t="str">
        <f t="shared" si="502"/>
        <v>스토리위즈</v>
      </c>
      <c r="I3668" t="str">
        <f t="shared" si="504"/>
        <v>디버프 마스터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70</v>
      </c>
      <c r="AT3668" t="str">
        <f t="shared" si="505"/>
        <v>9791137602663</v>
      </c>
      <c r="AV3668" t="str">
        <f t="shared" si="506"/>
        <v>판타지 웹소설 &gt; 퓨전 판타지</v>
      </c>
    </row>
    <row r="3669" spans="1:48" x14ac:dyDescent="0.4">
      <c r="A3669">
        <v>2313012849</v>
      </c>
      <c r="B3669">
        <v>2313013830</v>
      </c>
      <c r="C3669" t="str">
        <f>T("디버프 마스터 982화")</f>
        <v>디버프 마스터 982화</v>
      </c>
      <c r="D3669" t="str">
        <f>T("982")</f>
        <v>982</v>
      </c>
      <c r="E3669" t="str">
        <f t="shared" si="503"/>
        <v>담화공</v>
      </c>
      <c r="H3669" t="str">
        <f t="shared" si="502"/>
        <v>스토리위즈</v>
      </c>
      <c r="I3669" t="str">
        <f t="shared" si="504"/>
        <v>디버프 마스터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70</v>
      </c>
      <c r="AT3669" t="str">
        <f t="shared" si="505"/>
        <v>9791137602663</v>
      </c>
      <c r="AV3669" t="str">
        <f t="shared" si="506"/>
        <v>판타지 웹소설 &gt; 퓨전 판타지</v>
      </c>
    </row>
    <row r="3670" spans="1:48" x14ac:dyDescent="0.4">
      <c r="A3670">
        <v>2313012849</v>
      </c>
      <c r="B3670">
        <v>2313013831</v>
      </c>
      <c r="C3670" t="str">
        <f>T("디버프 마스터 983화")</f>
        <v>디버프 마스터 983화</v>
      </c>
      <c r="D3670" t="str">
        <f>T("983")</f>
        <v>983</v>
      </c>
      <c r="E3670" t="str">
        <f t="shared" si="503"/>
        <v>담화공</v>
      </c>
      <c r="H3670" t="str">
        <f t="shared" si="502"/>
        <v>스토리위즈</v>
      </c>
      <c r="I3670" t="str">
        <f t="shared" si="504"/>
        <v>디버프 마스터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70</v>
      </c>
      <c r="AT3670" t="str">
        <f t="shared" si="505"/>
        <v>9791137602663</v>
      </c>
      <c r="AV3670" t="str">
        <f t="shared" si="506"/>
        <v>판타지 웹소설 &gt; 퓨전 판타지</v>
      </c>
    </row>
    <row r="3671" spans="1:48" x14ac:dyDescent="0.4">
      <c r="A3671">
        <v>2313012849</v>
      </c>
      <c r="B3671">
        <v>2313013832</v>
      </c>
      <c r="C3671" t="str">
        <f>T("디버프 마스터 984화")</f>
        <v>디버프 마스터 984화</v>
      </c>
      <c r="D3671" t="str">
        <f>T("984")</f>
        <v>984</v>
      </c>
      <c r="E3671" t="str">
        <f t="shared" si="503"/>
        <v>담화공</v>
      </c>
      <c r="H3671" t="str">
        <f t="shared" si="502"/>
        <v>스토리위즈</v>
      </c>
      <c r="I3671" t="str">
        <f t="shared" si="504"/>
        <v>디버프 마스터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70</v>
      </c>
      <c r="AT3671" t="str">
        <f t="shared" si="505"/>
        <v>9791137602663</v>
      </c>
      <c r="AV3671" t="str">
        <f t="shared" si="506"/>
        <v>판타지 웹소설 &gt; 퓨전 판타지</v>
      </c>
    </row>
    <row r="3672" spans="1:48" x14ac:dyDescent="0.4">
      <c r="A3672">
        <v>2313012849</v>
      </c>
      <c r="B3672">
        <v>2313013833</v>
      </c>
      <c r="C3672" t="str">
        <f>T("디버프 마스터 985화")</f>
        <v>디버프 마스터 985화</v>
      </c>
      <c r="D3672" t="str">
        <f>T("985")</f>
        <v>985</v>
      </c>
      <c r="E3672" t="str">
        <f t="shared" si="503"/>
        <v>담화공</v>
      </c>
      <c r="H3672" t="str">
        <f t="shared" si="502"/>
        <v>스토리위즈</v>
      </c>
      <c r="I3672" t="str">
        <f t="shared" si="504"/>
        <v>디버프 마스터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70</v>
      </c>
      <c r="AT3672" t="str">
        <f t="shared" si="505"/>
        <v>9791137602663</v>
      </c>
      <c r="AV3672" t="str">
        <f t="shared" si="506"/>
        <v>판타지 웹소설 &gt; 퓨전 판타지</v>
      </c>
    </row>
    <row r="3673" spans="1:48" x14ac:dyDescent="0.4">
      <c r="A3673">
        <v>2313012849</v>
      </c>
      <c r="B3673">
        <v>2313013834</v>
      </c>
      <c r="C3673" t="str">
        <f>T("디버프 마스터 986화")</f>
        <v>디버프 마스터 986화</v>
      </c>
      <c r="D3673" t="str">
        <f>T("986")</f>
        <v>986</v>
      </c>
      <c r="E3673" t="str">
        <f t="shared" si="503"/>
        <v>담화공</v>
      </c>
      <c r="H3673" t="str">
        <f t="shared" si="502"/>
        <v>스토리위즈</v>
      </c>
      <c r="I3673" t="str">
        <f t="shared" si="504"/>
        <v>디버프 마스터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70</v>
      </c>
      <c r="AT3673" t="str">
        <f t="shared" si="505"/>
        <v>9791137602663</v>
      </c>
      <c r="AV3673" t="str">
        <f t="shared" si="506"/>
        <v>판타지 웹소설 &gt; 퓨전 판타지</v>
      </c>
    </row>
    <row r="3674" spans="1:48" x14ac:dyDescent="0.4">
      <c r="A3674">
        <v>2313012849</v>
      </c>
      <c r="B3674">
        <v>2313013835</v>
      </c>
      <c r="C3674" t="str">
        <f>T("디버프 마스터 987화")</f>
        <v>디버프 마스터 987화</v>
      </c>
      <c r="D3674" t="str">
        <f>T("987")</f>
        <v>987</v>
      </c>
      <c r="E3674" t="str">
        <f t="shared" si="503"/>
        <v>담화공</v>
      </c>
      <c r="H3674" t="str">
        <f t="shared" si="502"/>
        <v>스토리위즈</v>
      </c>
      <c r="I3674" t="str">
        <f t="shared" si="504"/>
        <v>디버프 마스터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70</v>
      </c>
      <c r="AT3674" t="str">
        <f t="shared" si="505"/>
        <v>9791137602663</v>
      </c>
      <c r="AV3674" t="str">
        <f t="shared" si="506"/>
        <v>판타지 웹소설 &gt; 퓨전 판타지</v>
      </c>
    </row>
    <row r="3675" spans="1:48" x14ac:dyDescent="0.4">
      <c r="A3675">
        <v>2313012849</v>
      </c>
      <c r="B3675">
        <v>2313013836</v>
      </c>
      <c r="C3675" t="str">
        <f>T("디버프 마스터 988화")</f>
        <v>디버프 마스터 988화</v>
      </c>
      <c r="D3675" t="str">
        <f>T("988")</f>
        <v>988</v>
      </c>
      <c r="E3675" t="str">
        <f t="shared" si="503"/>
        <v>담화공</v>
      </c>
      <c r="H3675" t="str">
        <f t="shared" si="502"/>
        <v>스토리위즈</v>
      </c>
      <c r="I3675" t="str">
        <f t="shared" si="504"/>
        <v>디버프 마스터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70</v>
      </c>
      <c r="AT3675" t="str">
        <f t="shared" si="505"/>
        <v>9791137602663</v>
      </c>
      <c r="AV3675" t="str">
        <f t="shared" si="506"/>
        <v>판타지 웹소설 &gt; 퓨전 판타지</v>
      </c>
    </row>
    <row r="3676" spans="1:48" x14ac:dyDescent="0.4">
      <c r="A3676">
        <v>2313012849</v>
      </c>
      <c r="B3676">
        <v>2313013837</v>
      </c>
      <c r="C3676" t="str">
        <f>T("디버프 마스터 989화")</f>
        <v>디버프 마스터 989화</v>
      </c>
      <c r="D3676" t="str">
        <f>T("989")</f>
        <v>989</v>
      </c>
      <c r="E3676" t="str">
        <f t="shared" si="503"/>
        <v>담화공</v>
      </c>
      <c r="H3676" t="str">
        <f t="shared" si="502"/>
        <v>스토리위즈</v>
      </c>
      <c r="I3676" t="str">
        <f t="shared" si="504"/>
        <v>디버프 마스터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70</v>
      </c>
      <c r="AT3676" t="str">
        <f t="shared" si="505"/>
        <v>9791137602663</v>
      </c>
      <c r="AV3676" t="str">
        <f t="shared" si="506"/>
        <v>판타지 웹소설 &gt; 퓨전 판타지</v>
      </c>
    </row>
    <row r="3677" spans="1:48" x14ac:dyDescent="0.4">
      <c r="A3677">
        <v>2313012849</v>
      </c>
      <c r="B3677">
        <v>2313013838</v>
      </c>
      <c r="C3677" t="str">
        <f>T("디버프 마스터 990화")</f>
        <v>디버프 마스터 990화</v>
      </c>
      <c r="D3677" t="str">
        <f>T("990")</f>
        <v>990</v>
      </c>
      <c r="E3677" t="str">
        <f t="shared" si="503"/>
        <v>담화공</v>
      </c>
      <c r="H3677" t="str">
        <f t="shared" si="502"/>
        <v>스토리위즈</v>
      </c>
      <c r="I3677" t="str">
        <f t="shared" si="504"/>
        <v>디버프 마스터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70</v>
      </c>
      <c r="AT3677" t="str">
        <f t="shared" si="505"/>
        <v>9791137602663</v>
      </c>
      <c r="AV3677" t="str">
        <f t="shared" si="506"/>
        <v>판타지 웹소설 &gt; 퓨전 판타지</v>
      </c>
    </row>
    <row r="3678" spans="1:48" x14ac:dyDescent="0.4">
      <c r="A3678">
        <v>2313012849</v>
      </c>
      <c r="B3678">
        <v>2313013839</v>
      </c>
      <c r="C3678" t="str">
        <f>T("디버프 마스터 991화")</f>
        <v>디버프 마스터 991화</v>
      </c>
      <c r="D3678" t="str">
        <f>T("991")</f>
        <v>991</v>
      </c>
      <c r="E3678" t="str">
        <f t="shared" si="503"/>
        <v>담화공</v>
      </c>
      <c r="H3678" t="str">
        <f t="shared" si="502"/>
        <v>스토리위즈</v>
      </c>
      <c r="I3678" t="str">
        <f t="shared" si="504"/>
        <v>디버프 마스터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70</v>
      </c>
      <c r="AT3678" t="str">
        <f t="shared" si="505"/>
        <v>9791137602663</v>
      </c>
      <c r="AV3678" t="str">
        <f t="shared" si="506"/>
        <v>판타지 웹소설 &gt; 퓨전 판타지</v>
      </c>
    </row>
    <row r="3679" spans="1:48" x14ac:dyDescent="0.4">
      <c r="A3679">
        <v>2313012849</v>
      </c>
      <c r="B3679">
        <v>2313013840</v>
      </c>
      <c r="C3679" t="str">
        <f>T("디버프 마스터 992화")</f>
        <v>디버프 마스터 992화</v>
      </c>
      <c r="D3679" t="str">
        <f>T("992")</f>
        <v>992</v>
      </c>
      <c r="E3679" t="str">
        <f t="shared" si="503"/>
        <v>담화공</v>
      </c>
      <c r="H3679" t="str">
        <f t="shared" si="502"/>
        <v>스토리위즈</v>
      </c>
      <c r="I3679" t="str">
        <f t="shared" si="504"/>
        <v>디버프 마스터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70</v>
      </c>
      <c r="AT3679" t="str">
        <f t="shared" si="505"/>
        <v>9791137602663</v>
      </c>
      <c r="AV3679" t="str">
        <f t="shared" si="506"/>
        <v>판타지 웹소설 &gt; 퓨전 판타지</v>
      </c>
    </row>
    <row r="3680" spans="1:48" x14ac:dyDescent="0.4">
      <c r="A3680">
        <v>2313012849</v>
      </c>
      <c r="B3680">
        <v>2313013841</v>
      </c>
      <c r="C3680" t="str">
        <f>T("디버프 마스터 993화")</f>
        <v>디버프 마스터 993화</v>
      </c>
      <c r="D3680" t="str">
        <f>T("993")</f>
        <v>993</v>
      </c>
      <c r="E3680" t="str">
        <f t="shared" si="503"/>
        <v>담화공</v>
      </c>
      <c r="H3680" t="str">
        <f t="shared" si="502"/>
        <v>스토리위즈</v>
      </c>
      <c r="I3680" t="str">
        <f t="shared" si="504"/>
        <v>디버프 마스터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70</v>
      </c>
      <c r="AT3680" t="str">
        <f t="shared" si="505"/>
        <v>9791137602663</v>
      </c>
      <c r="AV3680" t="str">
        <f t="shared" si="506"/>
        <v>판타지 웹소설 &gt; 퓨전 판타지</v>
      </c>
    </row>
    <row r="3681" spans="1:48" x14ac:dyDescent="0.4">
      <c r="A3681">
        <v>2313012849</v>
      </c>
      <c r="B3681">
        <v>2313013842</v>
      </c>
      <c r="C3681" t="str">
        <f>T("디버프 마스터 994화")</f>
        <v>디버프 마스터 994화</v>
      </c>
      <c r="D3681" t="str">
        <f>T("994")</f>
        <v>994</v>
      </c>
      <c r="E3681" t="str">
        <f t="shared" si="503"/>
        <v>담화공</v>
      </c>
      <c r="H3681" t="str">
        <f t="shared" si="502"/>
        <v>스토리위즈</v>
      </c>
      <c r="I3681" t="str">
        <f t="shared" si="504"/>
        <v>디버프 마스터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70</v>
      </c>
      <c r="AT3681" t="str">
        <f t="shared" si="505"/>
        <v>9791137602663</v>
      </c>
      <c r="AV3681" t="str">
        <f t="shared" si="506"/>
        <v>판타지 웹소설 &gt; 퓨전 판타지</v>
      </c>
    </row>
    <row r="3682" spans="1:48" x14ac:dyDescent="0.4">
      <c r="A3682">
        <v>2313012849</v>
      </c>
      <c r="B3682">
        <v>2313013843</v>
      </c>
      <c r="C3682" t="str">
        <f>T("디버프 마스터 995화")</f>
        <v>디버프 마스터 995화</v>
      </c>
      <c r="D3682" t="str">
        <f>T("995")</f>
        <v>995</v>
      </c>
      <c r="E3682" t="str">
        <f t="shared" si="503"/>
        <v>담화공</v>
      </c>
      <c r="H3682" t="str">
        <f t="shared" si="502"/>
        <v>스토리위즈</v>
      </c>
      <c r="I3682" t="str">
        <f t="shared" si="504"/>
        <v>디버프 마스터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70</v>
      </c>
      <c r="AT3682" t="str">
        <f t="shared" si="505"/>
        <v>9791137602663</v>
      </c>
      <c r="AV3682" t="str">
        <f t="shared" si="506"/>
        <v>판타지 웹소설 &gt; 퓨전 판타지</v>
      </c>
    </row>
    <row r="3683" spans="1:48" x14ac:dyDescent="0.4">
      <c r="A3683">
        <v>2313012849</v>
      </c>
      <c r="B3683">
        <v>2313013844</v>
      </c>
      <c r="C3683" t="str">
        <f>T("디버프 마스터 996화")</f>
        <v>디버프 마스터 996화</v>
      </c>
      <c r="D3683" t="str">
        <f>T("996")</f>
        <v>996</v>
      </c>
      <c r="E3683" t="str">
        <f t="shared" si="503"/>
        <v>담화공</v>
      </c>
      <c r="H3683" t="str">
        <f t="shared" si="502"/>
        <v>스토리위즈</v>
      </c>
      <c r="I3683" t="str">
        <f t="shared" si="504"/>
        <v>디버프 마스터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70</v>
      </c>
      <c r="AT3683" t="str">
        <f t="shared" si="505"/>
        <v>9791137602663</v>
      </c>
      <c r="AV3683" t="str">
        <f t="shared" si="506"/>
        <v>판타지 웹소설 &gt; 퓨전 판타지</v>
      </c>
    </row>
    <row r="3684" spans="1:48" x14ac:dyDescent="0.4">
      <c r="A3684">
        <v>2313012849</v>
      </c>
      <c r="B3684">
        <v>2313013845</v>
      </c>
      <c r="C3684" t="str">
        <f>T("디버프 마스터 997화")</f>
        <v>디버프 마스터 997화</v>
      </c>
      <c r="D3684" t="str">
        <f>T("997")</f>
        <v>997</v>
      </c>
      <c r="E3684" t="str">
        <f t="shared" si="503"/>
        <v>담화공</v>
      </c>
      <c r="H3684" t="str">
        <f t="shared" si="502"/>
        <v>스토리위즈</v>
      </c>
      <c r="I3684" t="str">
        <f t="shared" si="504"/>
        <v>디버프 마스터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70</v>
      </c>
      <c r="AT3684" t="str">
        <f t="shared" si="505"/>
        <v>9791137602663</v>
      </c>
      <c r="AV3684" t="str">
        <f t="shared" si="506"/>
        <v>판타지 웹소설 &gt; 퓨전 판타지</v>
      </c>
    </row>
    <row r="3685" spans="1:48" x14ac:dyDescent="0.4">
      <c r="A3685">
        <v>2313012849</v>
      </c>
      <c r="B3685">
        <v>2313013846</v>
      </c>
      <c r="C3685" t="str">
        <f>T("디버프 마스터 998화")</f>
        <v>디버프 마스터 998화</v>
      </c>
      <c r="D3685" t="str">
        <f>T("998")</f>
        <v>998</v>
      </c>
      <c r="E3685" t="str">
        <f t="shared" si="503"/>
        <v>담화공</v>
      </c>
      <c r="H3685" t="str">
        <f t="shared" si="502"/>
        <v>스토리위즈</v>
      </c>
      <c r="I3685" t="str">
        <f t="shared" si="504"/>
        <v>디버프 마스터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70</v>
      </c>
      <c r="AT3685" t="str">
        <f t="shared" si="505"/>
        <v>9791137602663</v>
      </c>
      <c r="AV3685" t="str">
        <f t="shared" si="506"/>
        <v>판타지 웹소설 &gt; 퓨전 판타지</v>
      </c>
    </row>
    <row r="3686" spans="1:48" x14ac:dyDescent="0.4">
      <c r="A3686">
        <v>2313012849</v>
      </c>
      <c r="B3686">
        <v>2313013847</v>
      </c>
      <c r="C3686" t="str">
        <f>T("디버프 마스터 999화")</f>
        <v>디버프 마스터 999화</v>
      </c>
      <c r="D3686" t="str">
        <f>T("999")</f>
        <v>999</v>
      </c>
      <c r="E3686" t="str">
        <f t="shared" si="503"/>
        <v>담화공</v>
      </c>
      <c r="H3686" t="str">
        <f t="shared" si="502"/>
        <v>스토리위즈</v>
      </c>
      <c r="I3686" t="str">
        <f t="shared" si="504"/>
        <v>디버프 마스터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70</v>
      </c>
      <c r="AT3686" t="str">
        <f t="shared" si="505"/>
        <v>9791137602663</v>
      </c>
      <c r="AV3686" t="str">
        <f t="shared" si="506"/>
        <v>판타지 웹소설 &gt; 퓨전 판타지</v>
      </c>
    </row>
    <row r="3687" spans="1:48" x14ac:dyDescent="0.4">
      <c r="A3687">
        <v>2313012849</v>
      </c>
      <c r="B3687">
        <v>2313013848</v>
      </c>
      <c r="C3687" t="str">
        <f>T("디버프 마스터 1000화")</f>
        <v>디버프 마스터 1000화</v>
      </c>
      <c r="D3687" t="str">
        <f>T("1000")</f>
        <v>1000</v>
      </c>
      <c r="E3687" t="str">
        <f t="shared" si="503"/>
        <v>담화공</v>
      </c>
      <c r="H3687" t="str">
        <f t="shared" si="502"/>
        <v>스토리위즈</v>
      </c>
      <c r="I3687" t="str">
        <f t="shared" si="504"/>
        <v>디버프 마스터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70</v>
      </c>
      <c r="AT3687" t="str">
        <f t="shared" si="505"/>
        <v>9791137602663</v>
      </c>
      <c r="AV3687" t="str">
        <f t="shared" si="506"/>
        <v>판타지 웹소설 &gt; 퓨전 판타지</v>
      </c>
    </row>
    <row r="3688" spans="1:48" x14ac:dyDescent="0.4">
      <c r="A3688">
        <v>2313012849</v>
      </c>
      <c r="B3688">
        <v>2313013849</v>
      </c>
      <c r="C3688" t="str">
        <f>T("디버프 마스터 1001화")</f>
        <v>디버프 마스터 1001화</v>
      </c>
      <c r="D3688" t="str">
        <f>T("1001")</f>
        <v>1001</v>
      </c>
      <c r="E3688" t="str">
        <f t="shared" si="503"/>
        <v>담화공</v>
      </c>
      <c r="H3688" t="str">
        <f t="shared" si="502"/>
        <v>스토리위즈</v>
      </c>
      <c r="I3688" t="str">
        <f t="shared" si="504"/>
        <v>디버프 마스터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70</v>
      </c>
      <c r="AT3688" t="str">
        <f t="shared" si="505"/>
        <v>9791137602663</v>
      </c>
      <c r="AV3688" t="str">
        <f t="shared" si="506"/>
        <v>판타지 웹소설 &gt; 퓨전 판타지</v>
      </c>
    </row>
    <row r="3689" spans="1:48" x14ac:dyDescent="0.4">
      <c r="A3689">
        <v>2313012849</v>
      </c>
      <c r="B3689">
        <v>2313013850</v>
      </c>
      <c r="C3689" t="str">
        <f>T("디버프 마스터 1002화")</f>
        <v>디버프 마스터 1002화</v>
      </c>
      <c r="D3689" t="str">
        <f>T("1002")</f>
        <v>1002</v>
      </c>
      <c r="E3689" t="str">
        <f t="shared" si="503"/>
        <v>담화공</v>
      </c>
      <c r="H3689" t="str">
        <f t="shared" si="502"/>
        <v>스토리위즈</v>
      </c>
      <c r="I3689" t="str">
        <f t="shared" si="504"/>
        <v>디버프 마스터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70</v>
      </c>
      <c r="AT3689" t="str">
        <f t="shared" si="505"/>
        <v>9791137602663</v>
      </c>
      <c r="AV3689" t="str">
        <f t="shared" si="506"/>
        <v>판타지 웹소설 &gt; 퓨전 판타지</v>
      </c>
    </row>
    <row r="3690" spans="1:48" x14ac:dyDescent="0.4">
      <c r="A3690">
        <v>2313012849</v>
      </c>
      <c r="B3690">
        <v>2313013851</v>
      </c>
      <c r="C3690" t="str">
        <f>T("디버프 마스터 1003화")</f>
        <v>디버프 마스터 1003화</v>
      </c>
      <c r="D3690" t="str">
        <f>T("1003")</f>
        <v>1003</v>
      </c>
      <c r="E3690" t="str">
        <f t="shared" si="503"/>
        <v>담화공</v>
      </c>
      <c r="H3690" t="str">
        <f t="shared" si="502"/>
        <v>스토리위즈</v>
      </c>
      <c r="I3690" t="str">
        <f t="shared" si="504"/>
        <v>디버프 마스터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70</v>
      </c>
      <c r="AT3690" t="str">
        <f t="shared" si="505"/>
        <v>9791137602663</v>
      </c>
      <c r="AV3690" t="str">
        <f t="shared" si="506"/>
        <v>판타지 웹소설 &gt; 퓨전 판타지</v>
      </c>
    </row>
    <row r="3691" spans="1:48" x14ac:dyDescent="0.4">
      <c r="A3691">
        <v>2313012849</v>
      </c>
      <c r="B3691">
        <v>2313013852</v>
      </c>
      <c r="C3691" t="str">
        <f>T("디버프 마스터 1004화")</f>
        <v>디버프 마스터 1004화</v>
      </c>
      <c r="D3691" t="str">
        <f>T("1004")</f>
        <v>1004</v>
      </c>
      <c r="E3691" t="str">
        <f t="shared" si="503"/>
        <v>담화공</v>
      </c>
      <c r="H3691" t="str">
        <f t="shared" si="502"/>
        <v>스토리위즈</v>
      </c>
      <c r="I3691" t="str">
        <f t="shared" si="504"/>
        <v>디버프 마스터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70</v>
      </c>
      <c r="AT3691" t="str">
        <f t="shared" si="505"/>
        <v>9791137602663</v>
      </c>
      <c r="AV3691" t="str">
        <f t="shared" si="506"/>
        <v>판타지 웹소설 &gt; 퓨전 판타지</v>
      </c>
    </row>
    <row r="3692" spans="1:48" x14ac:dyDescent="0.4">
      <c r="A3692">
        <v>2313012849</v>
      </c>
      <c r="B3692">
        <v>2313013853</v>
      </c>
      <c r="C3692" t="str">
        <f>T("디버프 마스터 1005화")</f>
        <v>디버프 마스터 1005화</v>
      </c>
      <c r="D3692" t="str">
        <f>T("1005")</f>
        <v>1005</v>
      </c>
      <c r="E3692" t="str">
        <f t="shared" si="503"/>
        <v>담화공</v>
      </c>
      <c r="H3692" t="str">
        <f t="shared" si="502"/>
        <v>스토리위즈</v>
      </c>
      <c r="I3692" t="str">
        <f t="shared" si="504"/>
        <v>디버프 마스터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si="505"/>
        <v>9791137602663</v>
      </c>
      <c r="AV3692" t="str">
        <f t="shared" si="506"/>
        <v>판타지 웹소설 &gt; 퓨전 판타지</v>
      </c>
    </row>
    <row r="3693" spans="1:48" x14ac:dyDescent="0.4">
      <c r="A3693">
        <v>2313012849</v>
      </c>
      <c r="B3693">
        <v>2313013854</v>
      </c>
      <c r="C3693" t="str">
        <f>T("디버프 마스터 1006화")</f>
        <v>디버프 마스터 1006화</v>
      </c>
      <c r="D3693" t="str">
        <f>T("1006")</f>
        <v>1006</v>
      </c>
      <c r="E3693" t="str">
        <f t="shared" si="503"/>
        <v>담화공</v>
      </c>
      <c r="H3693" t="str">
        <f t="shared" si="502"/>
        <v>스토리위즈</v>
      </c>
      <c r="I3693" t="str">
        <f t="shared" si="504"/>
        <v>디버프 마스터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70</v>
      </c>
      <c r="AT3693" t="str">
        <f t="shared" si="505"/>
        <v>9791137602663</v>
      </c>
      <c r="AV3693" t="str">
        <f t="shared" si="506"/>
        <v>판타지 웹소설 &gt; 퓨전 판타지</v>
      </c>
    </row>
    <row r="3694" spans="1:48" x14ac:dyDescent="0.4">
      <c r="A3694">
        <v>2313012849</v>
      </c>
      <c r="B3694">
        <v>2313013855</v>
      </c>
      <c r="C3694" t="str">
        <f>T("디버프 마스터 1007화")</f>
        <v>디버프 마스터 1007화</v>
      </c>
      <c r="D3694" t="str">
        <f>T("1007")</f>
        <v>1007</v>
      </c>
      <c r="E3694" t="str">
        <f t="shared" si="503"/>
        <v>담화공</v>
      </c>
      <c r="H3694" t="str">
        <f t="shared" si="502"/>
        <v>스토리위즈</v>
      </c>
      <c r="I3694" t="str">
        <f t="shared" si="504"/>
        <v>디버프 마스터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70</v>
      </c>
      <c r="AT3694" t="str">
        <f t="shared" si="505"/>
        <v>9791137602663</v>
      </c>
      <c r="AV3694" t="str">
        <f t="shared" si="506"/>
        <v>판타지 웹소설 &gt; 퓨전 판타지</v>
      </c>
    </row>
    <row r="3695" spans="1:48" x14ac:dyDescent="0.4">
      <c r="A3695">
        <v>2313012849</v>
      </c>
      <c r="B3695">
        <v>2313013856</v>
      </c>
      <c r="C3695" t="str">
        <f>T("디버프 마스터 1008화")</f>
        <v>디버프 마스터 1008화</v>
      </c>
      <c r="D3695" t="str">
        <f>T("1008")</f>
        <v>1008</v>
      </c>
      <c r="E3695" t="str">
        <f t="shared" si="503"/>
        <v>담화공</v>
      </c>
      <c r="H3695" t="str">
        <f t="shared" si="502"/>
        <v>스토리위즈</v>
      </c>
      <c r="I3695" t="str">
        <f t="shared" si="504"/>
        <v>디버프 마스터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70</v>
      </c>
      <c r="AT3695" t="str">
        <f t="shared" si="505"/>
        <v>9791137602663</v>
      </c>
      <c r="AV3695" t="str">
        <f t="shared" si="506"/>
        <v>판타지 웹소설 &gt; 퓨전 판타지</v>
      </c>
    </row>
    <row r="3696" spans="1:48" x14ac:dyDescent="0.4">
      <c r="A3696">
        <v>2313012849</v>
      </c>
      <c r="B3696">
        <v>2313013857</v>
      </c>
      <c r="C3696" t="str">
        <f>T("디버프 마스터 1009화")</f>
        <v>디버프 마스터 1009화</v>
      </c>
      <c r="D3696" t="str">
        <f>T("1009")</f>
        <v>1009</v>
      </c>
      <c r="E3696" t="str">
        <f t="shared" si="503"/>
        <v>담화공</v>
      </c>
      <c r="H3696" t="str">
        <f t="shared" si="502"/>
        <v>스토리위즈</v>
      </c>
      <c r="I3696" t="str">
        <f t="shared" si="504"/>
        <v>디버프 마스터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70</v>
      </c>
      <c r="AT3696" t="str">
        <f t="shared" si="505"/>
        <v>9791137602663</v>
      </c>
      <c r="AV3696" t="str">
        <f t="shared" si="506"/>
        <v>판타지 웹소설 &gt; 퓨전 판타지</v>
      </c>
    </row>
    <row r="3697" spans="1:48" x14ac:dyDescent="0.4">
      <c r="A3697">
        <v>2313012849</v>
      </c>
      <c r="B3697">
        <v>2313013858</v>
      </c>
      <c r="C3697" t="str">
        <f>T("디버프 마스터 1010화")</f>
        <v>디버프 마스터 1010화</v>
      </c>
      <c r="D3697" t="str">
        <f>T("1010")</f>
        <v>1010</v>
      </c>
      <c r="E3697" t="str">
        <f t="shared" si="503"/>
        <v>담화공</v>
      </c>
      <c r="H3697" t="str">
        <f t="shared" si="502"/>
        <v>스토리위즈</v>
      </c>
      <c r="I3697" t="str">
        <f t="shared" si="504"/>
        <v>디버프 마스터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70</v>
      </c>
      <c r="AT3697" t="str">
        <f t="shared" si="505"/>
        <v>9791137602663</v>
      </c>
      <c r="AV3697" t="str">
        <f t="shared" si="506"/>
        <v>판타지 웹소설 &gt; 퓨전 판타지</v>
      </c>
    </row>
    <row r="3698" spans="1:48" x14ac:dyDescent="0.4">
      <c r="A3698">
        <v>2313012849</v>
      </c>
      <c r="B3698">
        <v>2313013859</v>
      </c>
      <c r="C3698" t="str">
        <f>T("디버프 마스터 1011화")</f>
        <v>디버프 마스터 1011화</v>
      </c>
      <c r="D3698" t="str">
        <f>T("1011")</f>
        <v>1011</v>
      </c>
      <c r="E3698" t="str">
        <f t="shared" si="503"/>
        <v>담화공</v>
      </c>
      <c r="H3698" t="str">
        <f t="shared" si="502"/>
        <v>스토리위즈</v>
      </c>
      <c r="I3698" t="str">
        <f t="shared" si="504"/>
        <v>디버프 마스터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70</v>
      </c>
      <c r="AT3698" t="str">
        <f t="shared" si="505"/>
        <v>9791137602663</v>
      </c>
      <c r="AV3698" t="str">
        <f t="shared" si="506"/>
        <v>판타지 웹소설 &gt; 퓨전 판타지</v>
      </c>
    </row>
    <row r="3699" spans="1:48" x14ac:dyDescent="0.4">
      <c r="A3699">
        <v>2313012849</v>
      </c>
      <c r="B3699">
        <v>2313013860</v>
      </c>
      <c r="C3699" t="str">
        <f>T("디버프 마스터 1012화")</f>
        <v>디버프 마스터 1012화</v>
      </c>
      <c r="D3699" t="str">
        <f>T("1012")</f>
        <v>1012</v>
      </c>
      <c r="E3699" t="str">
        <f t="shared" si="503"/>
        <v>담화공</v>
      </c>
      <c r="H3699" t="str">
        <f t="shared" si="502"/>
        <v>스토리위즈</v>
      </c>
      <c r="I3699" t="str">
        <f t="shared" si="504"/>
        <v>디버프 마스터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70</v>
      </c>
      <c r="AT3699" t="str">
        <f t="shared" si="505"/>
        <v>9791137602663</v>
      </c>
      <c r="AV3699" t="str">
        <f t="shared" si="506"/>
        <v>판타지 웹소설 &gt; 퓨전 판타지</v>
      </c>
    </row>
    <row r="3700" spans="1:48" x14ac:dyDescent="0.4">
      <c r="A3700">
        <v>2313012849</v>
      </c>
      <c r="B3700">
        <v>2313013861</v>
      </c>
      <c r="C3700" t="str">
        <f>T("디버프 마스터 1013화")</f>
        <v>디버프 마스터 1013화</v>
      </c>
      <c r="D3700" t="str">
        <f>T("1013")</f>
        <v>1013</v>
      </c>
      <c r="E3700" t="str">
        <f t="shared" si="503"/>
        <v>담화공</v>
      </c>
      <c r="H3700" t="str">
        <f t="shared" si="502"/>
        <v>스토리위즈</v>
      </c>
      <c r="I3700" t="str">
        <f t="shared" si="504"/>
        <v>디버프 마스터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70</v>
      </c>
      <c r="AT3700" t="str">
        <f t="shared" si="505"/>
        <v>9791137602663</v>
      </c>
      <c r="AV3700" t="str">
        <f t="shared" si="506"/>
        <v>판타지 웹소설 &gt; 퓨전 판타지</v>
      </c>
    </row>
    <row r="3701" spans="1:48" x14ac:dyDescent="0.4">
      <c r="A3701">
        <v>2313012849</v>
      </c>
      <c r="B3701">
        <v>2313013862</v>
      </c>
      <c r="C3701" t="str">
        <f>T("디버프 마스터 1014화")</f>
        <v>디버프 마스터 1014화</v>
      </c>
      <c r="D3701" t="str">
        <f>T("1014")</f>
        <v>1014</v>
      </c>
      <c r="E3701" t="str">
        <f t="shared" si="503"/>
        <v>담화공</v>
      </c>
      <c r="H3701" t="str">
        <f t="shared" si="502"/>
        <v>스토리위즈</v>
      </c>
      <c r="I3701" t="str">
        <f t="shared" si="504"/>
        <v>디버프 마스터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70</v>
      </c>
      <c r="AT3701" t="str">
        <f t="shared" si="505"/>
        <v>9791137602663</v>
      </c>
      <c r="AV3701" t="str">
        <f t="shared" si="506"/>
        <v>판타지 웹소설 &gt; 퓨전 판타지</v>
      </c>
    </row>
    <row r="3702" spans="1:48" x14ac:dyDescent="0.4">
      <c r="A3702">
        <v>2313012849</v>
      </c>
      <c r="B3702">
        <v>2313013863</v>
      </c>
      <c r="C3702" t="str">
        <f>T("디버프 마스터 1015화")</f>
        <v>디버프 마스터 1015화</v>
      </c>
      <c r="D3702" t="str">
        <f>T("1015")</f>
        <v>1015</v>
      </c>
      <c r="E3702" t="str">
        <f t="shared" si="503"/>
        <v>담화공</v>
      </c>
      <c r="H3702" t="str">
        <f t="shared" si="502"/>
        <v>스토리위즈</v>
      </c>
      <c r="I3702" t="str">
        <f t="shared" si="504"/>
        <v>디버프 마스터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70</v>
      </c>
      <c r="AT3702" t="str">
        <f t="shared" si="505"/>
        <v>9791137602663</v>
      </c>
      <c r="AV3702" t="str">
        <f t="shared" si="506"/>
        <v>판타지 웹소설 &gt; 퓨전 판타지</v>
      </c>
    </row>
    <row r="3703" spans="1:48" x14ac:dyDescent="0.4">
      <c r="A3703">
        <v>2313012849</v>
      </c>
      <c r="B3703">
        <v>2313013864</v>
      </c>
      <c r="C3703" t="str">
        <f>T("디버프 마스터 1016화")</f>
        <v>디버프 마스터 1016화</v>
      </c>
      <c r="D3703" t="str">
        <f>T("1016")</f>
        <v>1016</v>
      </c>
      <c r="E3703" t="str">
        <f t="shared" si="503"/>
        <v>담화공</v>
      </c>
      <c r="H3703" t="str">
        <f t="shared" si="502"/>
        <v>스토리위즈</v>
      </c>
      <c r="I3703" t="str">
        <f t="shared" si="504"/>
        <v>디버프 마스터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70</v>
      </c>
      <c r="AT3703" t="str">
        <f t="shared" si="505"/>
        <v>9791137602663</v>
      </c>
      <c r="AV3703" t="str">
        <f t="shared" si="506"/>
        <v>판타지 웹소설 &gt; 퓨전 판타지</v>
      </c>
    </row>
    <row r="3704" spans="1:48" x14ac:dyDescent="0.4">
      <c r="A3704">
        <v>2313012849</v>
      </c>
      <c r="B3704">
        <v>2313013865</v>
      </c>
      <c r="C3704" t="str">
        <f>T("디버프 마스터 1017화")</f>
        <v>디버프 마스터 1017화</v>
      </c>
      <c r="D3704" t="str">
        <f>T("1017")</f>
        <v>1017</v>
      </c>
      <c r="E3704" t="str">
        <f t="shared" si="503"/>
        <v>담화공</v>
      </c>
      <c r="H3704" t="str">
        <f t="shared" si="502"/>
        <v>스토리위즈</v>
      </c>
      <c r="I3704" t="str">
        <f t="shared" si="504"/>
        <v>디버프 마스터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70</v>
      </c>
      <c r="AT3704" t="str">
        <f t="shared" si="505"/>
        <v>9791137602663</v>
      </c>
      <c r="AV3704" t="str">
        <f t="shared" si="506"/>
        <v>판타지 웹소설 &gt; 퓨전 판타지</v>
      </c>
    </row>
    <row r="3705" spans="1:48" x14ac:dyDescent="0.4">
      <c r="A3705">
        <v>2313012849</v>
      </c>
      <c r="B3705">
        <v>2313013866</v>
      </c>
      <c r="C3705" t="str">
        <f>T("디버프 마스터 1018화")</f>
        <v>디버프 마스터 1018화</v>
      </c>
      <c r="D3705" t="str">
        <f>T("1018")</f>
        <v>1018</v>
      </c>
      <c r="E3705" t="str">
        <f t="shared" si="503"/>
        <v>담화공</v>
      </c>
      <c r="H3705" t="str">
        <f t="shared" ref="H3705:H3768" si="507">T("스토리위즈")</f>
        <v>스토리위즈</v>
      </c>
      <c r="I3705" t="str">
        <f t="shared" si="504"/>
        <v>디버프 마스터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70</v>
      </c>
      <c r="AT3705" t="str">
        <f t="shared" si="505"/>
        <v>9791137602663</v>
      </c>
      <c r="AV3705" t="str">
        <f t="shared" si="506"/>
        <v>판타지 웹소설 &gt; 퓨전 판타지</v>
      </c>
    </row>
    <row r="3706" spans="1:48" x14ac:dyDescent="0.4">
      <c r="A3706">
        <v>2313012849</v>
      </c>
      <c r="B3706">
        <v>2313013867</v>
      </c>
      <c r="C3706" t="str">
        <f>T("디버프 마스터 1019화")</f>
        <v>디버프 마스터 1019화</v>
      </c>
      <c r="D3706" t="str">
        <f>T("1019")</f>
        <v>1019</v>
      </c>
      <c r="E3706" t="str">
        <f t="shared" si="503"/>
        <v>담화공</v>
      </c>
      <c r="H3706" t="str">
        <f t="shared" si="507"/>
        <v>스토리위즈</v>
      </c>
      <c r="I3706" t="str">
        <f t="shared" si="504"/>
        <v>디버프 마스터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70</v>
      </c>
      <c r="AT3706" t="str">
        <f t="shared" si="505"/>
        <v>9791137602663</v>
      </c>
      <c r="AV3706" t="str">
        <f t="shared" si="506"/>
        <v>판타지 웹소설 &gt; 퓨전 판타지</v>
      </c>
    </row>
    <row r="3707" spans="1:48" x14ac:dyDescent="0.4">
      <c r="A3707">
        <v>2313012849</v>
      </c>
      <c r="B3707">
        <v>2313013868</v>
      </c>
      <c r="C3707" t="str">
        <f>T("디버프 마스터 1020화")</f>
        <v>디버프 마스터 1020화</v>
      </c>
      <c r="D3707" t="str">
        <f>T("1020")</f>
        <v>1020</v>
      </c>
      <c r="E3707" t="str">
        <f t="shared" si="503"/>
        <v>담화공</v>
      </c>
      <c r="H3707" t="str">
        <f t="shared" si="507"/>
        <v>스토리위즈</v>
      </c>
      <c r="I3707" t="str">
        <f t="shared" si="504"/>
        <v>디버프 마스터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70</v>
      </c>
      <c r="AT3707" t="str">
        <f t="shared" si="505"/>
        <v>9791137602663</v>
      </c>
      <c r="AV3707" t="str">
        <f t="shared" si="506"/>
        <v>판타지 웹소설 &gt; 퓨전 판타지</v>
      </c>
    </row>
    <row r="3708" spans="1:48" x14ac:dyDescent="0.4">
      <c r="A3708">
        <v>2313012849</v>
      </c>
      <c r="B3708">
        <v>2313013869</v>
      </c>
      <c r="C3708" t="str">
        <f>T("디버프 마스터 1021화")</f>
        <v>디버프 마스터 1021화</v>
      </c>
      <c r="D3708" t="str">
        <f>T("1021")</f>
        <v>1021</v>
      </c>
      <c r="E3708" t="str">
        <f t="shared" si="503"/>
        <v>담화공</v>
      </c>
      <c r="H3708" t="str">
        <f t="shared" si="507"/>
        <v>스토리위즈</v>
      </c>
      <c r="I3708" t="str">
        <f t="shared" si="504"/>
        <v>디버프 마스터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70</v>
      </c>
      <c r="AT3708" t="str">
        <f t="shared" si="505"/>
        <v>9791137602663</v>
      </c>
      <c r="AV3708" t="str">
        <f t="shared" si="506"/>
        <v>판타지 웹소설 &gt; 퓨전 판타지</v>
      </c>
    </row>
    <row r="3709" spans="1:48" x14ac:dyDescent="0.4">
      <c r="A3709">
        <v>2313012849</v>
      </c>
      <c r="B3709">
        <v>2313013870</v>
      </c>
      <c r="C3709" t="str">
        <f>T("디버프 마스터 1022화")</f>
        <v>디버프 마스터 1022화</v>
      </c>
      <c r="D3709" t="str">
        <f>T("1022")</f>
        <v>1022</v>
      </c>
      <c r="E3709" t="str">
        <f t="shared" si="503"/>
        <v>담화공</v>
      </c>
      <c r="H3709" t="str">
        <f t="shared" si="507"/>
        <v>스토리위즈</v>
      </c>
      <c r="I3709" t="str">
        <f t="shared" si="504"/>
        <v>디버프 마스터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70</v>
      </c>
      <c r="AT3709" t="str">
        <f t="shared" si="505"/>
        <v>9791137602663</v>
      </c>
      <c r="AV3709" t="str">
        <f t="shared" si="506"/>
        <v>판타지 웹소설 &gt; 퓨전 판타지</v>
      </c>
    </row>
    <row r="3710" spans="1:48" x14ac:dyDescent="0.4">
      <c r="A3710">
        <v>2313012849</v>
      </c>
      <c r="B3710">
        <v>2313013871</v>
      </c>
      <c r="C3710" t="str">
        <f>T("디버프 마스터 1023화")</f>
        <v>디버프 마스터 1023화</v>
      </c>
      <c r="D3710" t="str">
        <f>T("1023")</f>
        <v>1023</v>
      </c>
      <c r="E3710" t="str">
        <f t="shared" si="503"/>
        <v>담화공</v>
      </c>
      <c r="H3710" t="str">
        <f t="shared" si="507"/>
        <v>스토리위즈</v>
      </c>
      <c r="I3710" t="str">
        <f t="shared" si="504"/>
        <v>디버프 마스터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70</v>
      </c>
      <c r="AT3710" t="str">
        <f t="shared" si="505"/>
        <v>9791137602663</v>
      </c>
      <c r="AV3710" t="str">
        <f t="shared" si="506"/>
        <v>판타지 웹소설 &gt; 퓨전 판타지</v>
      </c>
    </row>
    <row r="3711" spans="1:48" x14ac:dyDescent="0.4">
      <c r="A3711">
        <v>2313012849</v>
      </c>
      <c r="B3711">
        <v>2313013873</v>
      </c>
      <c r="C3711" t="str">
        <f>T("디버프 마스터 1025화")</f>
        <v>디버프 마스터 1025화</v>
      </c>
      <c r="D3711" t="str">
        <f>T("1025")</f>
        <v>1025</v>
      </c>
      <c r="E3711" t="str">
        <f t="shared" si="503"/>
        <v>담화공</v>
      </c>
      <c r="H3711" t="str">
        <f t="shared" si="507"/>
        <v>스토리위즈</v>
      </c>
      <c r="I3711" t="str">
        <f t="shared" si="504"/>
        <v>디버프 마스터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70</v>
      </c>
      <c r="AT3711" t="str">
        <f t="shared" si="505"/>
        <v>9791137602663</v>
      </c>
      <c r="AV3711" t="str">
        <f t="shared" si="506"/>
        <v>판타지 웹소설 &gt; 퓨전 판타지</v>
      </c>
    </row>
    <row r="3712" spans="1:48" x14ac:dyDescent="0.4">
      <c r="A3712">
        <v>2313012849</v>
      </c>
      <c r="B3712">
        <v>2313013874</v>
      </c>
      <c r="C3712" t="str">
        <f>T("디버프 마스터 1026화")</f>
        <v>디버프 마스터 1026화</v>
      </c>
      <c r="D3712" t="str">
        <f>T("1026")</f>
        <v>1026</v>
      </c>
      <c r="E3712" t="str">
        <f t="shared" si="503"/>
        <v>담화공</v>
      </c>
      <c r="H3712" t="str">
        <f t="shared" si="507"/>
        <v>스토리위즈</v>
      </c>
      <c r="I3712" t="str">
        <f t="shared" si="504"/>
        <v>디버프 마스터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70</v>
      </c>
      <c r="AT3712" t="str">
        <f t="shared" si="505"/>
        <v>9791137602663</v>
      </c>
      <c r="AV3712" t="str">
        <f t="shared" si="506"/>
        <v>판타지 웹소설 &gt; 퓨전 판타지</v>
      </c>
    </row>
    <row r="3713" spans="1:48" x14ac:dyDescent="0.4">
      <c r="A3713">
        <v>2313012849</v>
      </c>
      <c r="B3713">
        <v>2313013875</v>
      </c>
      <c r="C3713" t="str">
        <f>T("디버프 마스터 1027화")</f>
        <v>디버프 마스터 1027화</v>
      </c>
      <c r="D3713" t="str">
        <f>T("1027")</f>
        <v>1027</v>
      </c>
      <c r="E3713" t="str">
        <f t="shared" si="503"/>
        <v>담화공</v>
      </c>
      <c r="H3713" t="str">
        <f t="shared" si="507"/>
        <v>스토리위즈</v>
      </c>
      <c r="I3713" t="str">
        <f t="shared" si="504"/>
        <v>디버프 마스터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70</v>
      </c>
      <c r="AT3713" t="str">
        <f t="shared" si="505"/>
        <v>9791137602663</v>
      </c>
      <c r="AV3713" t="str">
        <f t="shared" si="506"/>
        <v>판타지 웹소설 &gt; 퓨전 판타지</v>
      </c>
    </row>
    <row r="3714" spans="1:48" x14ac:dyDescent="0.4">
      <c r="A3714">
        <v>2313012849</v>
      </c>
      <c r="B3714">
        <v>2313013876</v>
      </c>
      <c r="C3714" t="str">
        <f>T("디버프 마스터 1028화")</f>
        <v>디버프 마스터 1028화</v>
      </c>
      <c r="D3714" t="str">
        <f>T("1028")</f>
        <v>1028</v>
      </c>
      <c r="E3714" t="str">
        <f t="shared" si="503"/>
        <v>담화공</v>
      </c>
      <c r="H3714" t="str">
        <f t="shared" si="507"/>
        <v>스토리위즈</v>
      </c>
      <c r="I3714" t="str">
        <f t="shared" si="504"/>
        <v>디버프 마스터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70</v>
      </c>
      <c r="AT3714" t="str">
        <f t="shared" si="505"/>
        <v>9791137602663</v>
      </c>
      <c r="AV3714" t="str">
        <f t="shared" si="506"/>
        <v>판타지 웹소설 &gt; 퓨전 판타지</v>
      </c>
    </row>
    <row r="3715" spans="1:48" x14ac:dyDescent="0.4">
      <c r="A3715">
        <v>2313012849</v>
      </c>
      <c r="B3715">
        <v>2313013877</v>
      </c>
      <c r="C3715" t="str">
        <f>T("디버프 마스터 1029화")</f>
        <v>디버프 마스터 1029화</v>
      </c>
      <c r="D3715" t="str">
        <f>T("1029")</f>
        <v>1029</v>
      </c>
      <c r="E3715" t="str">
        <f t="shared" si="503"/>
        <v>담화공</v>
      </c>
      <c r="H3715" t="str">
        <f t="shared" si="507"/>
        <v>스토리위즈</v>
      </c>
      <c r="I3715" t="str">
        <f t="shared" si="504"/>
        <v>디버프 마스터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70</v>
      </c>
      <c r="AT3715" t="str">
        <f t="shared" si="505"/>
        <v>9791137602663</v>
      </c>
      <c r="AV3715" t="str">
        <f t="shared" si="506"/>
        <v>판타지 웹소설 &gt; 퓨전 판타지</v>
      </c>
    </row>
    <row r="3716" spans="1:48" x14ac:dyDescent="0.4">
      <c r="A3716">
        <v>2313012849</v>
      </c>
      <c r="B3716">
        <v>2313013878</v>
      </c>
      <c r="C3716" t="str">
        <f>T("디버프 마스터 1030화")</f>
        <v>디버프 마스터 1030화</v>
      </c>
      <c r="D3716" t="str">
        <f>T("1030")</f>
        <v>1030</v>
      </c>
      <c r="E3716" t="str">
        <f t="shared" si="503"/>
        <v>담화공</v>
      </c>
      <c r="H3716" t="str">
        <f t="shared" si="507"/>
        <v>스토리위즈</v>
      </c>
      <c r="I3716" t="str">
        <f t="shared" si="504"/>
        <v>디버프 마스터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>
        <v>70</v>
      </c>
      <c r="AT3716" t="str">
        <f t="shared" si="505"/>
        <v>9791137602663</v>
      </c>
      <c r="AV3716" t="str">
        <f t="shared" si="506"/>
        <v>판타지 웹소설 &gt; 퓨전 판타지</v>
      </c>
    </row>
    <row r="3717" spans="1:48" x14ac:dyDescent="0.4">
      <c r="A3717">
        <v>2313012849</v>
      </c>
      <c r="B3717">
        <v>2313013879</v>
      </c>
      <c r="C3717" t="str">
        <f>T("디버프 마스터 1031화")</f>
        <v>디버프 마스터 1031화</v>
      </c>
      <c r="D3717" t="str">
        <f>T("1031")</f>
        <v>1031</v>
      </c>
      <c r="E3717" t="str">
        <f t="shared" si="503"/>
        <v>담화공</v>
      </c>
      <c r="H3717" t="str">
        <f t="shared" si="507"/>
        <v>스토리위즈</v>
      </c>
      <c r="I3717" t="str">
        <f t="shared" si="504"/>
        <v>디버프 마스터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>
        <v>70</v>
      </c>
      <c r="AT3717" t="str">
        <f t="shared" si="505"/>
        <v>9791137602663</v>
      </c>
      <c r="AV3717" t="str">
        <f t="shared" si="506"/>
        <v>판타지 웹소설 &gt; 퓨전 판타지</v>
      </c>
    </row>
    <row r="3718" spans="1:48" x14ac:dyDescent="0.4">
      <c r="A3718">
        <v>2313012849</v>
      </c>
      <c r="B3718">
        <v>2313013880</v>
      </c>
      <c r="C3718" t="str">
        <f>T("디버프 마스터 1032화")</f>
        <v>디버프 마스터 1032화</v>
      </c>
      <c r="D3718" t="str">
        <f>T("1032")</f>
        <v>1032</v>
      </c>
      <c r="E3718" t="str">
        <f t="shared" si="503"/>
        <v>담화공</v>
      </c>
      <c r="H3718" t="str">
        <f t="shared" si="507"/>
        <v>스토리위즈</v>
      </c>
      <c r="I3718" t="str">
        <f t="shared" si="504"/>
        <v>디버프 마스터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>
        <v>70</v>
      </c>
      <c r="AT3718" t="str">
        <f t="shared" si="505"/>
        <v>9791137602663</v>
      </c>
      <c r="AV3718" t="str">
        <f t="shared" si="506"/>
        <v>판타지 웹소설 &gt; 퓨전 판타지</v>
      </c>
    </row>
    <row r="3719" spans="1:48" x14ac:dyDescent="0.4">
      <c r="A3719">
        <v>2313012849</v>
      </c>
      <c r="B3719">
        <v>2313013881</v>
      </c>
      <c r="C3719" t="str">
        <f>T("디버프 마스터 1033화")</f>
        <v>디버프 마스터 1033화</v>
      </c>
      <c r="D3719" t="str">
        <f>T("1033")</f>
        <v>1033</v>
      </c>
      <c r="E3719" t="str">
        <f t="shared" si="503"/>
        <v>담화공</v>
      </c>
      <c r="H3719" t="str">
        <f t="shared" si="507"/>
        <v>스토리위즈</v>
      </c>
      <c r="I3719" t="str">
        <f t="shared" si="504"/>
        <v>디버프 마스터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>
        <v>70</v>
      </c>
      <c r="AT3719" t="str">
        <f t="shared" si="505"/>
        <v>9791137602663</v>
      </c>
      <c r="AV3719" t="str">
        <f t="shared" si="506"/>
        <v>판타지 웹소설 &gt; 퓨전 판타지</v>
      </c>
    </row>
    <row r="3720" spans="1:48" x14ac:dyDescent="0.4">
      <c r="A3720">
        <v>2313012849</v>
      </c>
      <c r="B3720">
        <v>2313013882</v>
      </c>
      <c r="C3720" t="str">
        <f>T("디버프 마스터 1034화")</f>
        <v>디버프 마스터 1034화</v>
      </c>
      <c r="D3720" t="str">
        <f>T("1034")</f>
        <v>1034</v>
      </c>
      <c r="E3720" t="str">
        <f t="shared" ref="E3720:E3783" si="508">T("담화공")</f>
        <v>담화공</v>
      </c>
      <c r="H3720" t="str">
        <f t="shared" si="507"/>
        <v>스토리위즈</v>
      </c>
      <c r="I3720" t="str">
        <f t="shared" ref="I3720:I3783" si="509">T("디버프 마스터")</f>
        <v>디버프 마스터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>
        <v>70</v>
      </c>
      <c r="AT3720" t="str">
        <f t="shared" ref="AT3720:AT3783" si="510">T("9791137602663")</f>
        <v>9791137602663</v>
      </c>
      <c r="AV3720" t="str">
        <f t="shared" ref="AV3720:AV3783" si="511">T("판타지 웹소설 &gt; 퓨전 판타지")</f>
        <v>판타지 웹소설 &gt; 퓨전 판타지</v>
      </c>
    </row>
    <row r="3721" spans="1:48" x14ac:dyDescent="0.4">
      <c r="A3721">
        <v>2313012849</v>
      </c>
      <c r="B3721">
        <v>2313013883</v>
      </c>
      <c r="C3721" t="str">
        <f>T("디버프 마스터 1035화")</f>
        <v>디버프 마스터 1035화</v>
      </c>
      <c r="D3721" t="str">
        <f>T("1035")</f>
        <v>1035</v>
      </c>
      <c r="E3721" t="str">
        <f t="shared" si="508"/>
        <v>담화공</v>
      </c>
      <c r="H3721" t="str">
        <f t="shared" si="507"/>
        <v>스토리위즈</v>
      </c>
      <c r="I3721" t="str">
        <f t="shared" si="509"/>
        <v>디버프 마스터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>
        <v>70</v>
      </c>
      <c r="AT3721" t="str">
        <f t="shared" si="510"/>
        <v>9791137602663</v>
      </c>
      <c r="AV3721" t="str">
        <f t="shared" si="511"/>
        <v>판타지 웹소설 &gt; 퓨전 판타지</v>
      </c>
    </row>
    <row r="3722" spans="1:48" x14ac:dyDescent="0.4">
      <c r="A3722">
        <v>2313012849</v>
      </c>
      <c r="B3722">
        <v>2313013884</v>
      </c>
      <c r="C3722" t="str">
        <f>T("디버프 마스터 1036화")</f>
        <v>디버프 마스터 1036화</v>
      </c>
      <c r="D3722" t="str">
        <f>T("1036")</f>
        <v>1036</v>
      </c>
      <c r="E3722" t="str">
        <f t="shared" si="508"/>
        <v>담화공</v>
      </c>
      <c r="H3722" t="str">
        <f t="shared" si="507"/>
        <v>스토리위즈</v>
      </c>
      <c r="I3722" t="str">
        <f t="shared" si="509"/>
        <v>디버프 마스터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>
        <v>70</v>
      </c>
      <c r="AT3722" t="str">
        <f t="shared" si="510"/>
        <v>9791137602663</v>
      </c>
      <c r="AV3722" t="str">
        <f t="shared" si="511"/>
        <v>판타지 웹소설 &gt; 퓨전 판타지</v>
      </c>
    </row>
    <row r="3723" spans="1:48" x14ac:dyDescent="0.4">
      <c r="A3723">
        <v>2313012849</v>
      </c>
      <c r="B3723">
        <v>2313013885</v>
      </c>
      <c r="C3723" t="str">
        <f>T("디버프 마스터 1037화")</f>
        <v>디버프 마스터 1037화</v>
      </c>
      <c r="D3723" t="str">
        <f>T("1037")</f>
        <v>1037</v>
      </c>
      <c r="E3723" t="str">
        <f t="shared" si="508"/>
        <v>담화공</v>
      </c>
      <c r="H3723" t="str">
        <f t="shared" si="507"/>
        <v>스토리위즈</v>
      </c>
      <c r="I3723" t="str">
        <f t="shared" si="509"/>
        <v>디버프 마스터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>
        <v>70</v>
      </c>
      <c r="AT3723" t="str">
        <f t="shared" si="510"/>
        <v>9791137602663</v>
      </c>
      <c r="AV3723" t="str">
        <f t="shared" si="511"/>
        <v>판타지 웹소설 &gt; 퓨전 판타지</v>
      </c>
    </row>
    <row r="3724" spans="1:48" x14ac:dyDescent="0.4">
      <c r="A3724">
        <v>2313012849</v>
      </c>
      <c r="B3724">
        <v>2313013886</v>
      </c>
      <c r="C3724" t="str">
        <f>T("디버프 마스터 1038화")</f>
        <v>디버프 마스터 1038화</v>
      </c>
      <c r="D3724" t="str">
        <f>T("1038")</f>
        <v>1038</v>
      </c>
      <c r="E3724" t="str">
        <f t="shared" si="508"/>
        <v>담화공</v>
      </c>
      <c r="H3724" t="str">
        <f t="shared" si="507"/>
        <v>스토리위즈</v>
      </c>
      <c r="I3724" t="str">
        <f t="shared" si="509"/>
        <v>디버프 마스터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>
        <v>70</v>
      </c>
      <c r="AT3724" t="str">
        <f t="shared" si="510"/>
        <v>9791137602663</v>
      </c>
      <c r="AV3724" t="str">
        <f t="shared" si="511"/>
        <v>판타지 웹소설 &gt; 퓨전 판타지</v>
      </c>
    </row>
    <row r="3725" spans="1:48" x14ac:dyDescent="0.4">
      <c r="A3725">
        <v>2313012849</v>
      </c>
      <c r="B3725">
        <v>2313013887</v>
      </c>
      <c r="C3725" t="str">
        <f>T("디버프 마스터 1039화")</f>
        <v>디버프 마스터 1039화</v>
      </c>
      <c r="D3725" t="str">
        <f>T("1039")</f>
        <v>1039</v>
      </c>
      <c r="E3725" t="str">
        <f t="shared" si="508"/>
        <v>담화공</v>
      </c>
      <c r="H3725" t="str">
        <f t="shared" si="507"/>
        <v>스토리위즈</v>
      </c>
      <c r="I3725" t="str">
        <f t="shared" si="509"/>
        <v>디버프 마스터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>
        <v>70</v>
      </c>
      <c r="AT3725" t="str">
        <f t="shared" si="510"/>
        <v>9791137602663</v>
      </c>
      <c r="AV3725" t="str">
        <f t="shared" si="511"/>
        <v>판타지 웹소설 &gt; 퓨전 판타지</v>
      </c>
    </row>
    <row r="3726" spans="1:48" x14ac:dyDescent="0.4">
      <c r="A3726">
        <v>2313012849</v>
      </c>
      <c r="B3726">
        <v>2313013888</v>
      </c>
      <c r="C3726" t="str">
        <f>T("디버프 마스터 1040화")</f>
        <v>디버프 마스터 1040화</v>
      </c>
      <c r="D3726" t="str">
        <f>T("1040")</f>
        <v>1040</v>
      </c>
      <c r="E3726" t="str">
        <f t="shared" si="508"/>
        <v>담화공</v>
      </c>
      <c r="H3726" t="str">
        <f t="shared" si="507"/>
        <v>스토리위즈</v>
      </c>
      <c r="I3726" t="str">
        <f t="shared" si="509"/>
        <v>디버프 마스터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>
        <v>70</v>
      </c>
      <c r="AT3726" t="str">
        <f t="shared" si="510"/>
        <v>9791137602663</v>
      </c>
      <c r="AV3726" t="str">
        <f t="shared" si="511"/>
        <v>판타지 웹소설 &gt; 퓨전 판타지</v>
      </c>
    </row>
    <row r="3727" spans="1:48" x14ac:dyDescent="0.4">
      <c r="A3727">
        <v>2313012849</v>
      </c>
      <c r="B3727">
        <v>2313013889</v>
      </c>
      <c r="C3727" t="str">
        <f>T("디버프 마스터 1041화")</f>
        <v>디버프 마스터 1041화</v>
      </c>
      <c r="D3727" t="str">
        <f>T("1041")</f>
        <v>1041</v>
      </c>
      <c r="E3727" t="str">
        <f t="shared" si="508"/>
        <v>담화공</v>
      </c>
      <c r="H3727" t="str">
        <f t="shared" si="507"/>
        <v>스토리위즈</v>
      </c>
      <c r="I3727" t="str">
        <f t="shared" si="509"/>
        <v>디버프 마스터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>
        <v>70</v>
      </c>
      <c r="AT3727" t="str">
        <f t="shared" si="510"/>
        <v>9791137602663</v>
      </c>
      <c r="AV3727" t="str">
        <f t="shared" si="511"/>
        <v>판타지 웹소설 &gt; 퓨전 판타지</v>
      </c>
    </row>
    <row r="3728" spans="1:48" x14ac:dyDescent="0.4">
      <c r="A3728">
        <v>2313012849</v>
      </c>
      <c r="B3728">
        <v>2313013890</v>
      </c>
      <c r="C3728" t="str">
        <f>T("디버프 마스터 1042화")</f>
        <v>디버프 마스터 1042화</v>
      </c>
      <c r="D3728" t="str">
        <f>T("1042")</f>
        <v>1042</v>
      </c>
      <c r="E3728" t="str">
        <f t="shared" si="508"/>
        <v>담화공</v>
      </c>
      <c r="H3728" t="str">
        <f t="shared" si="507"/>
        <v>스토리위즈</v>
      </c>
      <c r="I3728" t="str">
        <f t="shared" si="509"/>
        <v>디버프 마스터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>
        <v>70</v>
      </c>
      <c r="AT3728" t="str">
        <f t="shared" si="510"/>
        <v>9791137602663</v>
      </c>
      <c r="AV3728" t="str">
        <f t="shared" si="511"/>
        <v>판타지 웹소설 &gt; 퓨전 판타지</v>
      </c>
    </row>
    <row r="3729" spans="1:48" x14ac:dyDescent="0.4">
      <c r="A3729">
        <v>2313012849</v>
      </c>
      <c r="B3729">
        <v>2313013891</v>
      </c>
      <c r="C3729" t="str">
        <f>T("디버프 마스터 1043화")</f>
        <v>디버프 마스터 1043화</v>
      </c>
      <c r="D3729" t="str">
        <f>T("1043")</f>
        <v>1043</v>
      </c>
      <c r="E3729" t="str">
        <f t="shared" si="508"/>
        <v>담화공</v>
      </c>
      <c r="H3729" t="str">
        <f t="shared" si="507"/>
        <v>스토리위즈</v>
      </c>
      <c r="I3729" t="str">
        <f t="shared" si="509"/>
        <v>디버프 마스터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>
        <v>70</v>
      </c>
      <c r="AT3729" t="str">
        <f t="shared" si="510"/>
        <v>9791137602663</v>
      </c>
      <c r="AV3729" t="str">
        <f t="shared" si="511"/>
        <v>판타지 웹소설 &gt; 퓨전 판타지</v>
      </c>
    </row>
    <row r="3730" spans="1:48" x14ac:dyDescent="0.4">
      <c r="A3730">
        <v>2313012849</v>
      </c>
      <c r="B3730">
        <v>2313013892</v>
      </c>
      <c r="C3730" t="str">
        <f>T("디버프 마스터 1044화")</f>
        <v>디버프 마스터 1044화</v>
      </c>
      <c r="D3730" t="str">
        <f>T("1044")</f>
        <v>1044</v>
      </c>
      <c r="E3730" t="str">
        <f t="shared" si="508"/>
        <v>담화공</v>
      </c>
      <c r="H3730" t="str">
        <f t="shared" si="507"/>
        <v>스토리위즈</v>
      </c>
      <c r="I3730" t="str">
        <f t="shared" si="509"/>
        <v>디버프 마스터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>
        <v>70</v>
      </c>
      <c r="AT3730" t="str">
        <f t="shared" si="510"/>
        <v>9791137602663</v>
      </c>
      <c r="AV3730" t="str">
        <f t="shared" si="511"/>
        <v>판타지 웹소설 &gt; 퓨전 판타지</v>
      </c>
    </row>
    <row r="3731" spans="1:48" x14ac:dyDescent="0.4">
      <c r="A3731">
        <v>2313012849</v>
      </c>
      <c r="B3731">
        <v>2313013893</v>
      </c>
      <c r="C3731" t="str">
        <f>T("디버프 마스터 1045화")</f>
        <v>디버프 마스터 1045화</v>
      </c>
      <c r="D3731" t="str">
        <f>T("1045")</f>
        <v>1045</v>
      </c>
      <c r="E3731" t="str">
        <f t="shared" si="508"/>
        <v>담화공</v>
      </c>
      <c r="H3731" t="str">
        <f t="shared" si="507"/>
        <v>스토리위즈</v>
      </c>
      <c r="I3731" t="str">
        <f t="shared" si="509"/>
        <v>디버프 마스터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>
        <v>70</v>
      </c>
      <c r="AT3731" t="str">
        <f t="shared" si="510"/>
        <v>9791137602663</v>
      </c>
      <c r="AV3731" t="str">
        <f t="shared" si="511"/>
        <v>판타지 웹소설 &gt; 퓨전 판타지</v>
      </c>
    </row>
    <row r="3732" spans="1:48" x14ac:dyDescent="0.4">
      <c r="A3732">
        <v>2313012849</v>
      </c>
      <c r="B3732">
        <v>2313013894</v>
      </c>
      <c r="C3732" t="str">
        <f>T("디버프 마스터 1046화")</f>
        <v>디버프 마스터 1046화</v>
      </c>
      <c r="D3732" t="str">
        <f>T("1046")</f>
        <v>1046</v>
      </c>
      <c r="E3732" t="str">
        <f t="shared" si="508"/>
        <v>담화공</v>
      </c>
      <c r="H3732" t="str">
        <f t="shared" si="507"/>
        <v>스토리위즈</v>
      </c>
      <c r="I3732" t="str">
        <f t="shared" si="509"/>
        <v>디버프 마스터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>
        <v>70</v>
      </c>
      <c r="AT3732" t="str">
        <f t="shared" si="510"/>
        <v>9791137602663</v>
      </c>
      <c r="AV3732" t="str">
        <f t="shared" si="511"/>
        <v>판타지 웹소설 &gt; 퓨전 판타지</v>
      </c>
    </row>
    <row r="3733" spans="1:48" x14ac:dyDescent="0.4">
      <c r="A3733">
        <v>2313012849</v>
      </c>
      <c r="B3733">
        <v>2313013895</v>
      </c>
      <c r="C3733" t="str">
        <f>T("디버프 마스터 1047화")</f>
        <v>디버프 마스터 1047화</v>
      </c>
      <c r="D3733" t="str">
        <f>T("1047")</f>
        <v>1047</v>
      </c>
      <c r="E3733" t="str">
        <f t="shared" si="508"/>
        <v>담화공</v>
      </c>
      <c r="H3733" t="str">
        <f t="shared" si="507"/>
        <v>스토리위즈</v>
      </c>
      <c r="I3733" t="str">
        <f t="shared" si="509"/>
        <v>디버프 마스터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>
        <v>70</v>
      </c>
      <c r="AT3733" t="str">
        <f t="shared" si="510"/>
        <v>9791137602663</v>
      </c>
      <c r="AV3733" t="str">
        <f t="shared" si="511"/>
        <v>판타지 웹소설 &gt; 퓨전 판타지</v>
      </c>
    </row>
    <row r="3734" spans="1:48" x14ac:dyDescent="0.4">
      <c r="A3734">
        <v>2313012849</v>
      </c>
      <c r="B3734">
        <v>2313013896</v>
      </c>
      <c r="C3734" t="str">
        <f>T("디버프 마스터 1048화")</f>
        <v>디버프 마스터 1048화</v>
      </c>
      <c r="D3734" t="str">
        <f>T("1048")</f>
        <v>1048</v>
      </c>
      <c r="E3734" t="str">
        <f t="shared" si="508"/>
        <v>담화공</v>
      </c>
      <c r="H3734" t="str">
        <f t="shared" si="507"/>
        <v>스토리위즈</v>
      </c>
      <c r="I3734" t="str">
        <f t="shared" si="509"/>
        <v>디버프 마스터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>
        <v>70</v>
      </c>
      <c r="AT3734" t="str">
        <f t="shared" si="510"/>
        <v>9791137602663</v>
      </c>
      <c r="AV3734" t="str">
        <f t="shared" si="511"/>
        <v>판타지 웹소설 &gt; 퓨전 판타지</v>
      </c>
    </row>
    <row r="3735" spans="1:48" x14ac:dyDescent="0.4">
      <c r="A3735">
        <v>2313012849</v>
      </c>
      <c r="B3735">
        <v>2313013897</v>
      </c>
      <c r="C3735" t="str">
        <f>T("디버프 마스터 1049화")</f>
        <v>디버프 마스터 1049화</v>
      </c>
      <c r="D3735" t="str">
        <f>T("1049")</f>
        <v>1049</v>
      </c>
      <c r="E3735" t="str">
        <f t="shared" si="508"/>
        <v>담화공</v>
      </c>
      <c r="H3735" t="str">
        <f t="shared" si="507"/>
        <v>스토리위즈</v>
      </c>
      <c r="I3735" t="str">
        <f t="shared" si="509"/>
        <v>디버프 마스터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>
        <v>70</v>
      </c>
      <c r="AT3735" t="str">
        <f t="shared" si="510"/>
        <v>9791137602663</v>
      </c>
      <c r="AV3735" t="str">
        <f t="shared" si="511"/>
        <v>판타지 웹소설 &gt; 퓨전 판타지</v>
      </c>
    </row>
    <row r="3736" spans="1:48" x14ac:dyDescent="0.4">
      <c r="A3736">
        <v>2313012849</v>
      </c>
      <c r="B3736">
        <v>2313013898</v>
      </c>
      <c r="C3736" t="str">
        <f>T("디버프 마스터 1050화")</f>
        <v>디버프 마스터 1050화</v>
      </c>
      <c r="D3736" t="str">
        <f>T("1050")</f>
        <v>1050</v>
      </c>
      <c r="E3736" t="str">
        <f t="shared" si="508"/>
        <v>담화공</v>
      </c>
      <c r="H3736" t="str">
        <f t="shared" si="507"/>
        <v>스토리위즈</v>
      </c>
      <c r="I3736" t="str">
        <f t="shared" si="509"/>
        <v>디버프 마스터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>
        <v>70</v>
      </c>
      <c r="AT3736" t="str">
        <f t="shared" si="510"/>
        <v>9791137602663</v>
      </c>
      <c r="AV3736" t="str">
        <f t="shared" si="511"/>
        <v>판타지 웹소설 &gt; 퓨전 판타지</v>
      </c>
    </row>
    <row r="3737" spans="1:48" x14ac:dyDescent="0.4">
      <c r="A3737">
        <v>2313012849</v>
      </c>
      <c r="B3737">
        <v>2313013899</v>
      </c>
      <c r="C3737" t="str">
        <f>T("디버프 마스터 1051화")</f>
        <v>디버프 마스터 1051화</v>
      </c>
      <c r="D3737" t="str">
        <f>T("1051")</f>
        <v>1051</v>
      </c>
      <c r="E3737" t="str">
        <f t="shared" si="508"/>
        <v>담화공</v>
      </c>
      <c r="H3737" t="str">
        <f t="shared" si="507"/>
        <v>스토리위즈</v>
      </c>
      <c r="I3737" t="str">
        <f t="shared" si="509"/>
        <v>디버프 마스터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>
        <v>70</v>
      </c>
      <c r="AT3737" t="str">
        <f t="shared" si="510"/>
        <v>9791137602663</v>
      </c>
      <c r="AV3737" t="str">
        <f t="shared" si="511"/>
        <v>판타지 웹소설 &gt; 퓨전 판타지</v>
      </c>
    </row>
    <row r="3738" spans="1:48" x14ac:dyDescent="0.4">
      <c r="A3738">
        <v>2313012849</v>
      </c>
      <c r="B3738">
        <v>2313013900</v>
      </c>
      <c r="C3738" t="str">
        <f>T("디버프 마스터 1052화")</f>
        <v>디버프 마스터 1052화</v>
      </c>
      <c r="D3738" t="str">
        <f>T("1052")</f>
        <v>1052</v>
      </c>
      <c r="E3738" t="str">
        <f t="shared" si="508"/>
        <v>담화공</v>
      </c>
      <c r="H3738" t="str">
        <f t="shared" si="507"/>
        <v>스토리위즈</v>
      </c>
      <c r="I3738" t="str">
        <f t="shared" si="509"/>
        <v>디버프 마스터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>
        <v>70</v>
      </c>
      <c r="AT3738" t="str">
        <f t="shared" si="510"/>
        <v>9791137602663</v>
      </c>
      <c r="AV3738" t="str">
        <f t="shared" si="511"/>
        <v>판타지 웹소설 &gt; 퓨전 판타지</v>
      </c>
    </row>
    <row r="3739" spans="1:48" x14ac:dyDescent="0.4">
      <c r="A3739">
        <v>2313012849</v>
      </c>
      <c r="B3739">
        <v>2313013901</v>
      </c>
      <c r="C3739" t="str">
        <f>T("디버프 마스터 1053화")</f>
        <v>디버프 마스터 1053화</v>
      </c>
      <c r="D3739" t="str">
        <f>T("1053")</f>
        <v>1053</v>
      </c>
      <c r="E3739" t="str">
        <f t="shared" si="508"/>
        <v>담화공</v>
      </c>
      <c r="H3739" t="str">
        <f t="shared" si="507"/>
        <v>스토리위즈</v>
      </c>
      <c r="I3739" t="str">
        <f t="shared" si="509"/>
        <v>디버프 마스터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>
        <v>70</v>
      </c>
      <c r="AT3739" t="str">
        <f t="shared" si="510"/>
        <v>9791137602663</v>
      </c>
      <c r="AV3739" t="str">
        <f t="shared" si="511"/>
        <v>판타지 웹소설 &gt; 퓨전 판타지</v>
      </c>
    </row>
    <row r="3740" spans="1:48" x14ac:dyDescent="0.4">
      <c r="A3740">
        <v>2313012849</v>
      </c>
      <c r="B3740">
        <v>2313013902</v>
      </c>
      <c r="C3740" t="str">
        <f>T("디버프 마스터 1054화")</f>
        <v>디버프 마스터 1054화</v>
      </c>
      <c r="D3740" t="str">
        <f>T("1054")</f>
        <v>1054</v>
      </c>
      <c r="E3740" t="str">
        <f t="shared" si="508"/>
        <v>담화공</v>
      </c>
      <c r="H3740" t="str">
        <f t="shared" si="507"/>
        <v>스토리위즈</v>
      </c>
      <c r="I3740" t="str">
        <f t="shared" si="509"/>
        <v>디버프 마스터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>
        <v>70</v>
      </c>
      <c r="AT3740" t="str">
        <f t="shared" si="510"/>
        <v>9791137602663</v>
      </c>
      <c r="AV3740" t="str">
        <f t="shared" si="511"/>
        <v>판타지 웹소설 &gt; 퓨전 판타지</v>
      </c>
    </row>
    <row r="3741" spans="1:48" x14ac:dyDescent="0.4">
      <c r="A3741">
        <v>2313012849</v>
      </c>
      <c r="B3741">
        <v>2313013903</v>
      </c>
      <c r="C3741" t="str">
        <f>T("디버프 마스터 1055화")</f>
        <v>디버프 마스터 1055화</v>
      </c>
      <c r="D3741" t="str">
        <f>T("1055")</f>
        <v>1055</v>
      </c>
      <c r="E3741" t="str">
        <f t="shared" si="508"/>
        <v>담화공</v>
      </c>
      <c r="H3741" t="str">
        <f t="shared" si="507"/>
        <v>스토리위즈</v>
      </c>
      <c r="I3741" t="str">
        <f t="shared" si="509"/>
        <v>디버프 마스터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>
        <v>70</v>
      </c>
      <c r="AT3741" t="str">
        <f t="shared" si="510"/>
        <v>9791137602663</v>
      </c>
      <c r="AV3741" t="str">
        <f t="shared" si="511"/>
        <v>판타지 웹소설 &gt; 퓨전 판타지</v>
      </c>
    </row>
    <row r="3742" spans="1:48" x14ac:dyDescent="0.4">
      <c r="A3742">
        <v>2313012849</v>
      </c>
      <c r="B3742">
        <v>2313013904</v>
      </c>
      <c r="C3742" t="str">
        <f>T("디버프 마스터 1056화")</f>
        <v>디버프 마스터 1056화</v>
      </c>
      <c r="D3742" t="str">
        <f>T("1056")</f>
        <v>1056</v>
      </c>
      <c r="E3742" t="str">
        <f t="shared" si="508"/>
        <v>담화공</v>
      </c>
      <c r="H3742" t="str">
        <f t="shared" si="507"/>
        <v>스토리위즈</v>
      </c>
      <c r="I3742" t="str">
        <f t="shared" si="509"/>
        <v>디버프 마스터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>
        <v>70</v>
      </c>
      <c r="AT3742" t="str">
        <f t="shared" si="510"/>
        <v>9791137602663</v>
      </c>
      <c r="AV3742" t="str">
        <f t="shared" si="511"/>
        <v>판타지 웹소설 &gt; 퓨전 판타지</v>
      </c>
    </row>
    <row r="3743" spans="1:48" x14ac:dyDescent="0.4">
      <c r="A3743">
        <v>2313012849</v>
      </c>
      <c r="B3743">
        <v>2313013905</v>
      </c>
      <c r="C3743" t="str">
        <f>T("디버프 마스터 1057화")</f>
        <v>디버프 마스터 1057화</v>
      </c>
      <c r="D3743" t="str">
        <f>T("1057")</f>
        <v>1057</v>
      </c>
      <c r="E3743" t="str">
        <f t="shared" si="508"/>
        <v>담화공</v>
      </c>
      <c r="H3743" t="str">
        <f t="shared" si="507"/>
        <v>스토리위즈</v>
      </c>
      <c r="I3743" t="str">
        <f t="shared" si="509"/>
        <v>디버프 마스터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>
        <v>70</v>
      </c>
      <c r="AT3743" t="str">
        <f t="shared" si="510"/>
        <v>9791137602663</v>
      </c>
      <c r="AV3743" t="str">
        <f t="shared" si="511"/>
        <v>판타지 웹소설 &gt; 퓨전 판타지</v>
      </c>
    </row>
    <row r="3744" spans="1:48" x14ac:dyDescent="0.4">
      <c r="A3744">
        <v>2313012849</v>
      </c>
      <c r="B3744">
        <v>2313013906</v>
      </c>
      <c r="C3744" t="str">
        <f>T("디버프 마스터 1058화")</f>
        <v>디버프 마스터 1058화</v>
      </c>
      <c r="D3744" t="str">
        <f>T("1058")</f>
        <v>1058</v>
      </c>
      <c r="E3744" t="str">
        <f t="shared" si="508"/>
        <v>담화공</v>
      </c>
      <c r="H3744" t="str">
        <f t="shared" si="507"/>
        <v>스토리위즈</v>
      </c>
      <c r="I3744" t="str">
        <f t="shared" si="509"/>
        <v>디버프 마스터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>
        <v>70</v>
      </c>
      <c r="AT3744" t="str">
        <f t="shared" si="510"/>
        <v>9791137602663</v>
      </c>
      <c r="AV3744" t="str">
        <f t="shared" si="511"/>
        <v>판타지 웹소설 &gt; 퓨전 판타지</v>
      </c>
    </row>
    <row r="3745" spans="1:48" x14ac:dyDescent="0.4">
      <c r="A3745">
        <v>2313012849</v>
      </c>
      <c r="B3745">
        <v>2313013907</v>
      </c>
      <c r="C3745" t="str">
        <f>T("디버프 마스터 1059화")</f>
        <v>디버프 마스터 1059화</v>
      </c>
      <c r="D3745" t="str">
        <f>T("1059")</f>
        <v>1059</v>
      </c>
      <c r="E3745" t="str">
        <f t="shared" si="508"/>
        <v>담화공</v>
      </c>
      <c r="H3745" t="str">
        <f t="shared" si="507"/>
        <v>스토리위즈</v>
      </c>
      <c r="I3745" t="str">
        <f t="shared" si="509"/>
        <v>디버프 마스터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>
        <v>70</v>
      </c>
      <c r="AT3745" t="str">
        <f t="shared" si="510"/>
        <v>9791137602663</v>
      </c>
      <c r="AV3745" t="str">
        <f t="shared" si="511"/>
        <v>판타지 웹소설 &gt; 퓨전 판타지</v>
      </c>
    </row>
    <row r="3746" spans="1:48" x14ac:dyDescent="0.4">
      <c r="A3746">
        <v>2313012849</v>
      </c>
      <c r="B3746">
        <v>2313013908</v>
      </c>
      <c r="C3746" t="str">
        <f>T("디버프 마스터 1060화")</f>
        <v>디버프 마스터 1060화</v>
      </c>
      <c r="D3746" t="str">
        <f>T("1060")</f>
        <v>1060</v>
      </c>
      <c r="E3746" t="str">
        <f t="shared" si="508"/>
        <v>담화공</v>
      </c>
      <c r="H3746" t="str">
        <f t="shared" si="507"/>
        <v>스토리위즈</v>
      </c>
      <c r="I3746" t="str">
        <f t="shared" si="509"/>
        <v>디버프 마스터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>
        <v>70</v>
      </c>
      <c r="AT3746" t="str">
        <f t="shared" si="510"/>
        <v>9791137602663</v>
      </c>
      <c r="AV3746" t="str">
        <f t="shared" si="511"/>
        <v>판타지 웹소설 &gt; 퓨전 판타지</v>
      </c>
    </row>
    <row r="3747" spans="1:48" x14ac:dyDescent="0.4">
      <c r="A3747">
        <v>2313012849</v>
      </c>
      <c r="B3747">
        <v>2313013909</v>
      </c>
      <c r="C3747" t="str">
        <f>T("디버프 마스터 1061화")</f>
        <v>디버프 마스터 1061화</v>
      </c>
      <c r="D3747" t="str">
        <f>T("1061")</f>
        <v>1061</v>
      </c>
      <c r="E3747" t="str">
        <f t="shared" si="508"/>
        <v>담화공</v>
      </c>
      <c r="H3747" t="str">
        <f t="shared" si="507"/>
        <v>스토리위즈</v>
      </c>
      <c r="I3747" t="str">
        <f t="shared" si="509"/>
        <v>디버프 마스터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>
        <v>70</v>
      </c>
      <c r="AT3747" t="str">
        <f t="shared" si="510"/>
        <v>9791137602663</v>
      </c>
      <c r="AV3747" t="str">
        <f t="shared" si="511"/>
        <v>판타지 웹소설 &gt; 퓨전 판타지</v>
      </c>
    </row>
    <row r="3748" spans="1:48" x14ac:dyDescent="0.4">
      <c r="A3748">
        <v>2313012849</v>
      </c>
      <c r="B3748">
        <v>2313013910</v>
      </c>
      <c r="C3748" t="str">
        <f>T("디버프 마스터 1062화")</f>
        <v>디버프 마스터 1062화</v>
      </c>
      <c r="D3748" t="str">
        <f>T("1062")</f>
        <v>1062</v>
      </c>
      <c r="E3748" t="str">
        <f t="shared" si="508"/>
        <v>담화공</v>
      </c>
      <c r="H3748" t="str">
        <f t="shared" si="507"/>
        <v>스토리위즈</v>
      </c>
      <c r="I3748" t="str">
        <f t="shared" si="509"/>
        <v>디버프 마스터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>
        <v>70</v>
      </c>
      <c r="AT3748" t="str">
        <f t="shared" si="510"/>
        <v>9791137602663</v>
      </c>
      <c r="AV3748" t="str">
        <f t="shared" si="511"/>
        <v>판타지 웹소설 &gt; 퓨전 판타지</v>
      </c>
    </row>
    <row r="3749" spans="1:48" x14ac:dyDescent="0.4">
      <c r="A3749">
        <v>2313012849</v>
      </c>
      <c r="B3749">
        <v>2313013911</v>
      </c>
      <c r="C3749" t="str">
        <f>T("디버프 마스터 1063화")</f>
        <v>디버프 마스터 1063화</v>
      </c>
      <c r="D3749" t="str">
        <f>T("1063")</f>
        <v>1063</v>
      </c>
      <c r="E3749" t="str">
        <f t="shared" si="508"/>
        <v>담화공</v>
      </c>
      <c r="H3749" t="str">
        <f t="shared" si="507"/>
        <v>스토리위즈</v>
      </c>
      <c r="I3749" t="str">
        <f t="shared" si="509"/>
        <v>디버프 마스터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>
        <v>70</v>
      </c>
      <c r="AT3749" t="str">
        <f t="shared" si="510"/>
        <v>9791137602663</v>
      </c>
      <c r="AV3749" t="str">
        <f t="shared" si="511"/>
        <v>판타지 웹소설 &gt; 퓨전 판타지</v>
      </c>
    </row>
    <row r="3750" spans="1:48" x14ac:dyDescent="0.4">
      <c r="A3750">
        <v>2313012849</v>
      </c>
      <c r="B3750">
        <v>2313013912</v>
      </c>
      <c r="C3750" t="str">
        <f>T("디버프 마스터 1064화")</f>
        <v>디버프 마스터 1064화</v>
      </c>
      <c r="D3750" t="str">
        <f>T("1064")</f>
        <v>1064</v>
      </c>
      <c r="E3750" t="str">
        <f t="shared" si="508"/>
        <v>담화공</v>
      </c>
      <c r="H3750" t="str">
        <f t="shared" si="507"/>
        <v>스토리위즈</v>
      </c>
      <c r="I3750" t="str">
        <f t="shared" si="509"/>
        <v>디버프 마스터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>
        <v>70</v>
      </c>
      <c r="AT3750" t="str">
        <f t="shared" si="510"/>
        <v>9791137602663</v>
      </c>
      <c r="AV3750" t="str">
        <f t="shared" si="511"/>
        <v>판타지 웹소설 &gt; 퓨전 판타지</v>
      </c>
    </row>
    <row r="3751" spans="1:48" x14ac:dyDescent="0.4">
      <c r="A3751">
        <v>2313012849</v>
      </c>
      <c r="B3751">
        <v>2313013913</v>
      </c>
      <c r="C3751" t="str">
        <f>T("디버프 마스터 1065화")</f>
        <v>디버프 마스터 1065화</v>
      </c>
      <c r="D3751" t="str">
        <f>T("1065")</f>
        <v>1065</v>
      </c>
      <c r="E3751" t="str">
        <f t="shared" si="508"/>
        <v>담화공</v>
      </c>
      <c r="H3751" t="str">
        <f t="shared" si="507"/>
        <v>스토리위즈</v>
      </c>
      <c r="I3751" t="str">
        <f t="shared" si="509"/>
        <v>디버프 마스터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>
        <v>70</v>
      </c>
      <c r="AT3751" t="str">
        <f t="shared" si="510"/>
        <v>9791137602663</v>
      </c>
      <c r="AV3751" t="str">
        <f t="shared" si="511"/>
        <v>판타지 웹소설 &gt; 퓨전 판타지</v>
      </c>
    </row>
    <row r="3752" spans="1:48" x14ac:dyDescent="0.4">
      <c r="A3752">
        <v>2313012849</v>
      </c>
      <c r="B3752">
        <v>2313013914</v>
      </c>
      <c r="C3752" t="str">
        <f>T("디버프 마스터 1066화")</f>
        <v>디버프 마스터 1066화</v>
      </c>
      <c r="D3752" t="str">
        <f>T("1066")</f>
        <v>1066</v>
      </c>
      <c r="E3752" t="str">
        <f t="shared" si="508"/>
        <v>담화공</v>
      </c>
      <c r="H3752" t="str">
        <f t="shared" si="507"/>
        <v>스토리위즈</v>
      </c>
      <c r="I3752" t="str">
        <f t="shared" si="509"/>
        <v>디버프 마스터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>
        <v>70</v>
      </c>
      <c r="AT3752" t="str">
        <f t="shared" si="510"/>
        <v>9791137602663</v>
      </c>
      <c r="AV3752" t="str">
        <f t="shared" si="511"/>
        <v>판타지 웹소설 &gt; 퓨전 판타지</v>
      </c>
    </row>
    <row r="3753" spans="1:48" x14ac:dyDescent="0.4">
      <c r="A3753">
        <v>2313012849</v>
      </c>
      <c r="B3753">
        <v>2313013915</v>
      </c>
      <c r="C3753" t="str">
        <f>T("디버프 마스터 1067화")</f>
        <v>디버프 마스터 1067화</v>
      </c>
      <c r="D3753" t="str">
        <f>T("1067")</f>
        <v>1067</v>
      </c>
      <c r="E3753" t="str">
        <f t="shared" si="508"/>
        <v>담화공</v>
      </c>
      <c r="H3753" t="str">
        <f t="shared" si="507"/>
        <v>스토리위즈</v>
      </c>
      <c r="I3753" t="str">
        <f t="shared" si="509"/>
        <v>디버프 마스터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>
        <v>70</v>
      </c>
      <c r="AT3753" t="str">
        <f t="shared" si="510"/>
        <v>9791137602663</v>
      </c>
      <c r="AV3753" t="str">
        <f t="shared" si="511"/>
        <v>판타지 웹소설 &gt; 퓨전 판타지</v>
      </c>
    </row>
    <row r="3754" spans="1:48" x14ac:dyDescent="0.4">
      <c r="A3754">
        <v>2313012849</v>
      </c>
      <c r="B3754">
        <v>2313013916</v>
      </c>
      <c r="C3754" t="str">
        <f>T("디버프 마스터 1068화")</f>
        <v>디버프 마스터 1068화</v>
      </c>
      <c r="D3754" t="str">
        <f>T("1068")</f>
        <v>1068</v>
      </c>
      <c r="E3754" t="str">
        <f t="shared" si="508"/>
        <v>담화공</v>
      </c>
      <c r="H3754" t="str">
        <f t="shared" si="507"/>
        <v>스토리위즈</v>
      </c>
      <c r="I3754" t="str">
        <f t="shared" si="509"/>
        <v>디버프 마스터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>
        <v>70</v>
      </c>
      <c r="AT3754" t="str">
        <f t="shared" si="510"/>
        <v>9791137602663</v>
      </c>
      <c r="AV3754" t="str">
        <f t="shared" si="511"/>
        <v>판타지 웹소설 &gt; 퓨전 판타지</v>
      </c>
    </row>
    <row r="3755" spans="1:48" x14ac:dyDescent="0.4">
      <c r="A3755">
        <v>2313012849</v>
      </c>
      <c r="B3755">
        <v>2313013917</v>
      </c>
      <c r="C3755" t="str">
        <f>T("디버프 마스터 1069화")</f>
        <v>디버프 마스터 1069화</v>
      </c>
      <c r="D3755" t="str">
        <f>T("1069")</f>
        <v>1069</v>
      </c>
      <c r="E3755" t="str">
        <f t="shared" si="508"/>
        <v>담화공</v>
      </c>
      <c r="H3755" t="str">
        <f t="shared" si="507"/>
        <v>스토리위즈</v>
      </c>
      <c r="I3755" t="str">
        <f t="shared" si="509"/>
        <v>디버프 마스터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>
        <v>70</v>
      </c>
      <c r="AT3755" t="str">
        <f t="shared" si="510"/>
        <v>9791137602663</v>
      </c>
      <c r="AV3755" t="str">
        <f t="shared" si="511"/>
        <v>판타지 웹소설 &gt; 퓨전 판타지</v>
      </c>
    </row>
    <row r="3756" spans="1:48" x14ac:dyDescent="0.4">
      <c r="A3756">
        <v>2313012849</v>
      </c>
      <c r="B3756">
        <v>2313013918</v>
      </c>
      <c r="C3756" t="str">
        <f>T("디버프 마스터 1070화")</f>
        <v>디버프 마스터 1070화</v>
      </c>
      <c r="D3756" t="str">
        <f>T("1070")</f>
        <v>1070</v>
      </c>
      <c r="E3756" t="str">
        <f t="shared" si="508"/>
        <v>담화공</v>
      </c>
      <c r="H3756" t="str">
        <f t="shared" si="507"/>
        <v>스토리위즈</v>
      </c>
      <c r="I3756" t="str">
        <f t="shared" si="509"/>
        <v>디버프 마스터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>
        <v>70</v>
      </c>
      <c r="AT3756" t="str">
        <f t="shared" si="510"/>
        <v>9791137602663</v>
      </c>
      <c r="AV3756" t="str">
        <f t="shared" si="511"/>
        <v>판타지 웹소설 &gt; 퓨전 판타지</v>
      </c>
    </row>
    <row r="3757" spans="1:48" x14ac:dyDescent="0.4">
      <c r="A3757">
        <v>2313012849</v>
      </c>
      <c r="B3757">
        <v>2313013919</v>
      </c>
      <c r="C3757" t="str">
        <f>T("디버프 마스터 1071화")</f>
        <v>디버프 마스터 1071화</v>
      </c>
      <c r="D3757" t="str">
        <f>T("1071")</f>
        <v>1071</v>
      </c>
      <c r="E3757" t="str">
        <f t="shared" si="508"/>
        <v>담화공</v>
      </c>
      <c r="H3757" t="str">
        <f t="shared" si="507"/>
        <v>스토리위즈</v>
      </c>
      <c r="I3757" t="str">
        <f t="shared" si="509"/>
        <v>디버프 마스터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>
        <v>70</v>
      </c>
      <c r="AT3757" t="str">
        <f t="shared" si="510"/>
        <v>9791137602663</v>
      </c>
      <c r="AV3757" t="str">
        <f t="shared" si="511"/>
        <v>판타지 웹소설 &gt; 퓨전 판타지</v>
      </c>
    </row>
    <row r="3758" spans="1:48" x14ac:dyDescent="0.4">
      <c r="A3758">
        <v>2313012849</v>
      </c>
      <c r="B3758">
        <v>2313013920</v>
      </c>
      <c r="C3758" t="str">
        <f>T("디버프 마스터 1072화")</f>
        <v>디버프 마스터 1072화</v>
      </c>
      <c r="D3758" t="str">
        <f>T("1072")</f>
        <v>1072</v>
      </c>
      <c r="E3758" t="str">
        <f t="shared" si="508"/>
        <v>담화공</v>
      </c>
      <c r="H3758" t="str">
        <f t="shared" si="507"/>
        <v>스토리위즈</v>
      </c>
      <c r="I3758" t="str">
        <f t="shared" si="509"/>
        <v>디버프 마스터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>
        <v>70</v>
      </c>
      <c r="AT3758" t="str">
        <f t="shared" si="510"/>
        <v>9791137602663</v>
      </c>
      <c r="AV3758" t="str">
        <f t="shared" si="511"/>
        <v>판타지 웹소설 &gt; 퓨전 판타지</v>
      </c>
    </row>
    <row r="3759" spans="1:48" x14ac:dyDescent="0.4">
      <c r="A3759">
        <v>2313012849</v>
      </c>
      <c r="B3759">
        <v>2313013921</v>
      </c>
      <c r="C3759" t="str">
        <f>T("디버프 마스터 1073화")</f>
        <v>디버프 마스터 1073화</v>
      </c>
      <c r="D3759" t="str">
        <f>T("1073")</f>
        <v>1073</v>
      </c>
      <c r="E3759" t="str">
        <f t="shared" si="508"/>
        <v>담화공</v>
      </c>
      <c r="H3759" t="str">
        <f t="shared" si="507"/>
        <v>스토리위즈</v>
      </c>
      <c r="I3759" t="str">
        <f t="shared" si="509"/>
        <v>디버프 마스터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>
        <v>70</v>
      </c>
      <c r="AT3759" t="str">
        <f t="shared" si="510"/>
        <v>9791137602663</v>
      </c>
      <c r="AV3759" t="str">
        <f t="shared" si="511"/>
        <v>판타지 웹소설 &gt; 퓨전 판타지</v>
      </c>
    </row>
    <row r="3760" spans="1:48" x14ac:dyDescent="0.4">
      <c r="A3760">
        <v>2313012849</v>
      </c>
      <c r="B3760">
        <v>2313013922</v>
      </c>
      <c r="C3760" t="str">
        <f>T("디버프 마스터 1074화")</f>
        <v>디버프 마스터 1074화</v>
      </c>
      <c r="D3760" t="str">
        <f>T("1074")</f>
        <v>1074</v>
      </c>
      <c r="E3760" t="str">
        <f t="shared" si="508"/>
        <v>담화공</v>
      </c>
      <c r="H3760" t="str">
        <f t="shared" si="507"/>
        <v>스토리위즈</v>
      </c>
      <c r="I3760" t="str">
        <f t="shared" si="509"/>
        <v>디버프 마스터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>
        <v>70</v>
      </c>
      <c r="AT3760" t="str">
        <f t="shared" si="510"/>
        <v>9791137602663</v>
      </c>
      <c r="AV3760" t="str">
        <f t="shared" si="511"/>
        <v>판타지 웹소설 &gt; 퓨전 판타지</v>
      </c>
    </row>
    <row r="3761" spans="1:48" x14ac:dyDescent="0.4">
      <c r="A3761">
        <v>2313012849</v>
      </c>
      <c r="B3761">
        <v>2313013923</v>
      </c>
      <c r="C3761" t="str">
        <f>T("디버프 마스터 1075화")</f>
        <v>디버프 마스터 1075화</v>
      </c>
      <c r="D3761" t="str">
        <f>T("1075")</f>
        <v>1075</v>
      </c>
      <c r="E3761" t="str">
        <f t="shared" si="508"/>
        <v>담화공</v>
      </c>
      <c r="H3761" t="str">
        <f t="shared" si="507"/>
        <v>스토리위즈</v>
      </c>
      <c r="I3761" t="str">
        <f t="shared" si="509"/>
        <v>디버프 마스터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>
        <v>70</v>
      </c>
      <c r="AT3761" t="str">
        <f t="shared" si="510"/>
        <v>9791137602663</v>
      </c>
      <c r="AV3761" t="str">
        <f t="shared" si="511"/>
        <v>판타지 웹소설 &gt; 퓨전 판타지</v>
      </c>
    </row>
    <row r="3762" spans="1:48" x14ac:dyDescent="0.4">
      <c r="A3762">
        <v>2313012849</v>
      </c>
      <c r="B3762">
        <v>2313013924</v>
      </c>
      <c r="C3762" t="str">
        <f>T("디버프 마스터 1076화")</f>
        <v>디버프 마스터 1076화</v>
      </c>
      <c r="D3762" t="str">
        <f>T("1076")</f>
        <v>1076</v>
      </c>
      <c r="E3762" t="str">
        <f t="shared" si="508"/>
        <v>담화공</v>
      </c>
      <c r="H3762" t="str">
        <f t="shared" si="507"/>
        <v>스토리위즈</v>
      </c>
      <c r="I3762" t="str">
        <f t="shared" si="509"/>
        <v>디버프 마스터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>
        <v>70</v>
      </c>
      <c r="AT3762" t="str">
        <f t="shared" si="510"/>
        <v>9791137602663</v>
      </c>
      <c r="AV3762" t="str">
        <f t="shared" si="511"/>
        <v>판타지 웹소설 &gt; 퓨전 판타지</v>
      </c>
    </row>
    <row r="3763" spans="1:48" x14ac:dyDescent="0.4">
      <c r="A3763">
        <v>2313012849</v>
      </c>
      <c r="B3763">
        <v>2313013925</v>
      </c>
      <c r="C3763" t="str">
        <f>T("디버프 마스터 1077화")</f>
        <v>디버프 마스터 1077화</v>
      </c>
      <c r="D3763" t="str">
        <f>T("1077")</f>
        <v>1077</v>
      </c>
      <c r="E3763" t="str">
        <f t="shared" si="508"/>
        <v>담화공</v>
      </c>
      <c r="H3763" t="str">
        <f t="shared" si="507"/>
        <v>스토리위즈</v>
      </c>
      <c r="I3763" t="str">
        <f t="shared" si="509"/>
        <v>디버프 마스터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>
        <v>70</v>
      </c>
      <c r="AT3763" t="str">
        <f t="shared" si="510"/>
        <v>9791137602663</v>
      </c>
      <c r="AV3763" t="str">
        <f t="shared" si="511"/>
        <v>판타지 웹소설 &gt; 퓨전 판타지</v>
      </c>
    </row>
    <row r="3764" spans="1:48" x14ac:dyDescent="0.4">
      <c r="A3764">
        <v>2313012849</v>
      </c>
      <c r="B3764">
        <v>2313013926</v>
      </c>
      <c r="C3764" t="str">
        <f>T("디버프 마스터 1078화")</f>
        <v>디버프 마스터 1078화</v>
      </c>
      <c r="D3764" t="str">
        <f>T("1078")</f>
        <v>1078</v>
      </c>
      <c r="E3764" t="str">
        <f t="shared" si="508"/>
        <v>담화공</v>
      </c>
      <c r="H3764" t="str">
        <f t="shared" si="507"/>
        <v>스토리위즈</v>
      </c>
      <c r="I3764" t="str">
        <f t="shared" si="509"/>
        <v>디버프 마스터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>
        <v>70</v>
      </c>
      <c r="AT3764" t="str">
        <f t="shared" si="510"/>
        <v>9791137602663</v>
      </c>
      <c r="AV3764" t="str">
        <f t="shared" si="511"/>
        <v>판타지 웹소설 &gt; 퓨전 판타지</v>
      </c>
    </row>
    <row r="3765" spans="1:48" x14ac:dyDescent="0.4">
      <c r="A3765">
        <v>2313012849</v>
      </c>
      <c r="B3765">
        <v>2313013927</v>
      </c>
      <c r="C3765" t="str">
        <f>T("디버프 마스터 1079화")</f>
        <v>디버프 마스터 1079화</v>
      </c>
      <c r="D3765" t="str">
        <f>T("1079")</f>
        <v>1079</v>
      </c>
      <c r="E3765" t="str">
        <f t="shared" si="508"/>
        <v>담화공</v>
      </c>
      <c r="H3765" t="str">
        <f t="shared" si="507"/>
        <v>스토리위즈</v>
      </c>
      <c r="I3765" t="str">
        <f t="shared" si="509"/>
        <v>디버프 마스터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>
        <v>70</v>
      </c>
      <c r="AT3765" t="str">
        <f t="shared" si="510"/>
        <v>9791137602663</v>
      </c>
      <c r="AV3765" t="str">
        <f t="shared" si="511"/>
        <v>판타지 웹소설 &gt; 퓨전 판타지</v>
      </c>
    </row>
    <row r="3766" spans="1:48" x14ac:dyDescent="0.4">
      <c r="A3766">
        <v>2313012849</v>
      </c>
      <c r="B3766">
        <v>2313013928</v>
      </c>
      <c r="C3766" t="str">
        <f>T("디버프 마스터 1080화")</f>
        <v>디버프 마스터 1080화</v>
      </c>
      <c r="D3766" t="str">
        <f>T("1080")</f>
        <v>1080</v>
      </c>
      <c r="E3766" t="str">
        <f t="shared" si="508"/>
        <v>담화공</v>
      </c>
      <c r="H3766" t="str">
        <f t="shared" si="507"/>
        <v>스토리위즈</v>
      </c>
      <c r="I3766" t="str">
        <f t="shared" si="509"/>
        <v>디버프 마스터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>
        <v>70</v>
      </c>
      <c r="AT3766" t="str">
        <f t="shared" si="510"/>
        <v>9791137602663</v>
      </c>
      <c r="AV3766" t="str">
        <f t="shared" si="511"/>
        <v>판타지 웹소설 &gt; 퓨전 판타지</v>
      </c>
    </row>
    <row r="3767" spans="1:48" x14ac:dyDescent="0.4">
      <c r="A3767">
        <v>2313012849</v>
      </c>
      <c r="B3767">
        <v>2313013929</v>
      </c>
      <c r="C3767" t="str">
        <f>T("디버프 마스터 1081화")</f>
        <v>디버프 마스터 1081화</v>
      </c>
      <c r="D3767" t="str">
        <f>T("1081")</f>
        <v>1081</v>
      </c>
      <c r="E3767" t="str">
        <f t="shared" si="508"/>
        <v>담화공</v>
      </c>
      <c r="H3767" t="str">
        <f t="shared" si="507"/>
        <v>스토리위즈</v>
      </c>
      <c r="I3767" t="str">
        <f t="shared" si="509"/>
        <v>디버프 마스터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>
        <v>70</v>
      </c>
      <c r="AT3767" t="str">
        <f t="shared" si="510"/>
        <v>9791137602663</v>
      </c>
      <c r="AV3767" t="str">
        <f t="shared" si="511"/>
        <v>판타지 웹소설 &gt; 퓨전 판타지</v>
      </c>
    </row>
    <row r="3768" spans="1:48" x14ac:dyDescent="0.4">
      <c r="A3768">
        <v>2313012849</v>
      </c>
      <c r="B3768">
        <v>2313013930</v>
      </c>
      <c r="C3768" t="str">
        <f>T("디버프 마스터 1082화")</f>
        <v>디버프 마스터 1082화</v>
      </c>
      <c r="D3768" t="str">
        <f>T("1082")</f>
        <v>1082</v>
      </c>
      <c r="E3768" t="str">
        <f t="shared" si="508"/>
        <v>담화공</v>
      </c>
      <c r="H3768" t="str">
        <f t="shared" si="507"/>
        <v>스토리위즈</v>
      </c>
      <c r="I3768" t="str">
        <f t="shared" si="509"/>
        <v>디버프 마스터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>
        <v>70</v>
      </c>
      <c r="AT3768" t="str">
        <f t="shared" si="510"/>
        <v>9791137602663</v>
      </c>
      <c r="AV3768" t="str">
        <f t="shared" si="511"/>
        <v>판타지 웹소설 &gt; 퓨전 판타지</v>
      </c>
    </row>
    <row r="3769" spans="1:48" x14ac:dyDescent="0.4">
      <c r="A3769">
        <v>2313012849</v>
      </c>
      <c r="B3769">
        <v>2313013931</v>
      </c>
      <c r="C3769" t="str">
        <f>T("디버프 마스터 1083화")</f>
        <v>디버프 마스터 1083화</v>
      </c>
      <c r="D3769" t="str">
        <f>T("1083")</f>
        <v>1083</v>
      </c>
      <c r="E3769" t="str">
        <f t="shared" si="508"/>
        <v>담화공</v>
      </c>
      <c r="H3769" t="str">
        <f t="shared" ref="H3769:H3832" si="512">T("스토리위즈")</f>
        <v>스토리위즈</v>
      </c>
      <c r="I3769" t="str">
        <f t="shared" si="509"/>
        <v>디버프 마스터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>
        <v>70</v>
      </c>
      <c r="AT3769" t="str">
        <f t="shared" si="510"/>
        <v>9791137602663</v>
      </c>
      <c r="AV3769" t="str">
        <f t="shared" si="511"/>
        <v>판타지 웹소설 &gt; 퓨전 판타지</v>
      </c>
    </row>
    <row r="3770" spans="1:48" x14ac:dyDescent="0.4">
      <c r="A3770">
        <v>2313012849</v>
      </c>
      <c r="B3770">
        <v>2313013932</v>
      </c>
      <c r="C3770" t="str">
        <f>T("디버프 마스터 1084화")</f>
        <v>디버프 마스터 1084화</v>
      </c>
      <c r="D3770" t="str">
        <f>T("1084")</f>
        <v>1084</v>
      </c>
      <c r="E3770" t="str">
        <f t="shared" si="508"/>
        <v>담화공</v>
      </c>
      <c r="H3770" t="str">
        <f t="shared" si="512"/>
        <v>스토리위즈</v>
      </c>
      <c r="I3770" t="str">
        <f t="shared" si="509"/>
        <v>디버프 마스터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>
        <v>70</v>
      </c>
      <c r="AT3770" t="str">
        <f t="shared" si="510"/>
        <v>9791137602663</v>
      </c>
      <c r="AV3770" t="str">
        <f t="shared" si="511"/>
        <v>판타지 웹소설 &gt; 퓨전 판타지</v>
      </c>
    </row>
    <row r="3771" spans="1:48" x14ac:dyDescent="0.4">
      <c r="A3771">
        <v>2313012849</v>
      </c>
      <c r="B3771">
        <v>2313013933</v>
      </c>
      <c r="C3771" t="str">
        <f>T("디버프 마스터 1085화")</f>
        <v>디버프 마스터 1085화</v>
      </c>
      <c r="D3771" t="str">
        <f>T("1085")</f>
        <v>1085</v>
      </c>
      <c r="E3771" t="str">
        <f t="shared" si="508"/>
        <v>담화공</v>
      </c>
      <c r="H3771" t="str">
        <f t="shared" si="512"/>
        <v>스토리위즈</v>
      </c>
      <c r="I3771" t="str">
        <f t="shared" si="509"/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>
        <v>70</v>
      </c>
      <c r="AT3771" t="str">
        <f t="shared" si="510"/>
        <v>9791137602663</v>
      </c>
      <c r="AV3771" t="str">
        <f t="shared" si="511"/>
        <v>판타지 웹소설 &gt; 퓨전 판타지</v>
      </c>
    </row>
    <row r="3772" spans="1:48" x14ac:dyDescent="0.4">
      <c r="A3772">
        <v>2313012849</v>
      </c>
      <c r="B3772">
        <v>2313013934</v>
      </c>
      <c r="C3772" t="str">
        <f>T("디버프 마스터 1086화")</f>
        <v>디버프 마스터 1086화</v>
      </c>
      <c r="D3772" t="str">
        <f>T("1086")</f>
        <v>1086</v>
      </c>
      <c r="E3772" t="str">
        <f t="shared" si="508"/>
        <v>담화공</v>
      </c>
      <c r="H3772" t="str">
        <f t="shared" si="512"/>
        <v>스토리위즈</v>
      </c>
      <c r="I3772" t="str">
        <f t="shared" si="509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>
        <v>70</v>
      </c>
      <c r="AT3772" t="str">
        <f t="shared" si="510"/>
        <v>9791137602663</v>
      </c>
      <c r="AV3772" t="str">
        <f t="shared" si="511"/>
        <v>판타지 웹소설 &gt; 퓨전 판타지</v>
      </c>
    </row>
    <row r="3773" spans="1:48" x14ac:dyDescent="0.4">
      <c r="A3773">
        <v>2313012849</v>
      </c>
      <c r="B3773">
        <v>2313013935</v>
      </c>
      <c r="C3773" t="str">
        <f>T("디버프 마스터 1087화")</f>
        <v>디버프 마스터 1087화</v>
      </c>
      <c r="D3773" t="str">
        <f>T("1087")</f>
        <v>1087</v>
      </c>
      <c r="E3773" t="str">
        <f t="shared" si="508"/>
        <v>담화공</v>
      </c>
      <c r="H3773" t="str">
        <f t="shared" si="512"/>
        <v>스토리위즈</v>
      </c>
      <c r="I3773" t="str">
        <f t="shared" si="509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>
        <v>70</v>
      </c>
      <c r="AT3773" t="str">
        <f t="shared" si="510"/>
        <v>9791137602663</v>
      </c>
      <c r="AV3773" t="str">
        <f t="shared" si="511"/>
        <v>판타지 웹소설 &gt; 퓨전 판타지</v>
      </c>
    </row>
    <row r="3774" spans="1:48" x14ac:dyDescent="0.4">
      <c r="A3774">
        <v>2313012849</v>
      </c>
      <c r="B3774">
        <v>2313013936</v>
      </c>
      <c r="C3774" t="str">
        <f>T("디버프 마스터 1088화")</f>
        <v>디버프 마스터 1088화</v>
      </c>
      <c r="D3774" t="str">
        <f>T("1088")</f>
        <v>1088</v>
      </c>
      <c r="E3774" t="str">
        <f t="shared" si="508"/>
        <v>담화공</v>
      </c>
      <c r="H3774" t="str">
        <f t="shared" si="512"/>
        <v>스토리위즈</v>
      </c>
      <c r="I3774" t="str">
        <f t="shared" si="509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>
        <v>70</v>
      </c>
      <c r="AT3774" t="str">
        <f t="shared" si="510"/>
        <v>9791137602663</v>
      </c>
      <c r="AV3774" t="str">
        <f t="shared" si="511"/>
        <v>판타지 웹소설 &gt; 퓨전 판타지</v>
      </c>
    </row>
    <row r="3775" spans="1:48" x14ac:dyDescent="0.4">
      <c r="A3775">
        <v>2313012849</v>
      </c>
      <c r="B3775">
        <v>2313013937</v>
      </c>
      <c r="C3775" t="str">
        <f>T("디버프 마스터 1089화")</f>
        <v>디버프 마스터 1089화</v>
      </c>
      <c r="D3775" t="str">
        <f>T("1089")</f>
        <v>1089</v>
      </c>
      <c r="E3775" t="str">
        <f t="shared" si="508"/>
        <v>담화공</v>
      </c>
      <c r="H3775" t="str">
        <f t="shared" si="512"/>
        <v>스토리위즈</v>
      </c>
      <c r="I3775" t="str">
        <f t="shared" si="509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>
        <v>70</v>
      </c>
      <c r="AT3775" t="str">
        <f t="shared" si="510"/>
        <v>9791137602663</v>
      </c>
      <c r="AV3775" t="str">
        <f t="shared" si="511"/>
        <v>판타지 웹소설 &gt; 퓨전 판타지</v>
      </c>
    </row>
    <row r="3776" spans="1:48" x14ac:dyDescent="0.4">
      <c r="A3776">
        <v>2313012849</v>
      </c>
      <c r="B3776">
        <v>2313013938</v>
      </c>
      <c r="C3776" t="str">
        <f>T("디버프 마스터 1090화")</f>
        <v>디버프 마스터 1090화</v>
      </c>
      <c r="D3776" t="str">
        <f>T("1090")</f>
        <v>1090</v>
      </c>
      <c r="E3776" t="str">
        <f t="shared" si="508"/>
        <v>담화공</v>
      </c>
      <c r="H3776" t="str">
        <f t="shared" si="512"/>
        <v>스토리위즈</v>
      </c>
      <c r="I3776" t="str">
        <f t="shared" si="509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>
        <v>70</v>
      </c>
      <c r="AT3776" t="str">
        <f t="shared" si="510"/>
        <v>9791137602663</v>
      </c>
      <c r="AV3776" t="str">
        <f t="shared" si="511"/>
        <v>판타지 웹소설 &gt; 퓨전 판타지</v>
      </c>
    </row>
    <row r="3777" spans="1:48" x14ac:dyDescent="0.4">
      <c r="A3777">
        <v>2313012849</v>
      </c>
      <c r="B3777">
        <v>2313013939</v>
      </c>
      <c r="C3777" t="str">
        <f>T("디버프 마스터 1091화")</f>
        <v>디버프 마스터 1091화</v>
      </c>
      <c r="D3777" t="str">
        <f>T("1091")</f>
        <v>1091</v>
      </c>
      <c r="E3777" t="str">
        <f t="shared" si="508"/>
        <v>담화공</v>
      </c>
      <c r="H3777" t="str">
        <f t="shared" si="512"/>
        <v>스토리위즈</v>
      </c>
      <c r="I3777" t="str">
        <f t="shared" si="509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>
        <v>70</v>
      </c>
      <c r="AT3777" t="str">
        <f t="shared" si="510"/>
        <v>9791137602663</v>
      </c>
      <c r="AV3777" t="str">
        <f t="shared" si="511"/>
        <v>판타지 웹소설 &gt; 퓨전 판타지</v>
      </c>
    </row>
    <row r="3778" spans="1:48" x14ac:dyDescent="0.4">
      <c r="A3778">
        <v>2313012849</v>
      </c>
      <c r="B3778">
        <v>2313013940</v>
      </c>
      <c r="C3778" t="str">
        <f>T("디버프 마스터 1092화")</f>
        <v>디버프 마스터 1092화</v>
      </c>
      <c r="D3778" t="str">
        <f>T("1092")</f>
        <v>1092</v>
      </c>
      <c r="E3778" t="str">
        <f t="shared" si="508"/>
        <v>담화공</v>
      </c>
      <c r="H3778" t="str">
        <f t="shared" si="512"/>
        <v>스토리위즈</v>
      </c>
      <c r="I3778" t="str">
        <f t="shared" si="509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>
        <v>70</v>
      </c>
      <c r="AT3778" t="str">
        <f t="shared" si="510"/>
        <v>9791137602663</v>
      </c>
      <c r="AV3778" t="str">
        <f t="shared" si="511"/>
        <v>판타지 웹소설 &gt; 퓨전 판타지</v>
      </c>
    </row>
    <row r="3779" spans="1:48" x14ac:dyDescent="0.4">
      <c r="A3779">
        <v>2313012849</v>
      </c>
      <c r="B3779">
        <v>2313013941</v>
      </c>
      <c r="C3779" t="str">
        <f>T("디버프 마스터 1093화")</f>
        <v>디버프 마스터 1093화</v>
      </c>
      <c r="D3779" t="str">
        <f>T("1093")</f>
        <v>1093</v>
      </c>
      <c r="E3779" t="str">
        <f t="shared" si="508"/>
        <v>담화공</v>
      </c>
      <c r="H3779" t="str">
        <f t="shared" si="512"/>
        <v>스토리위즈</v>
      </c>
      <c r="I3779" t="str">
        <f t="shared" si="509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>
        <v>70</v>
      </c>
      <c r="AT3779" t="str">
        <f t="shared" si="510"/>
        <v>9791137602663</v>
      </c>
      <c r="AV3779" t="str">
        <f t="shared" si="511"/>
        <v>판타지 웹소설 &gt; 퓨전 판타지</v>
      </c>
    </row>
    <row r="3780" spans="1:48" x14ac:dyDescent="0.4">
      <c r="A3780">
        <v>2313012849</v>
      </c>
      <c r="B3780">
        <v>2313013942</v>
      </c>
      <c r="C3780" t="str">
        <f>T("디버프 마스터 1094화")</f>
        <v>디버프 마스터 1094화</v>
      </c>
      <c r="D3780" t="str">
        <f>T("1094")</f>
        <v>1094</v>
      </c>
      <c r="E3780" t="str">
        <f t="shared" si="508"/>
        <v>담화공</v>
      </c>
      <c r="H3780" t="str">
        <f t="shared" si="512"/>
        <v>스토리위즈</v>
      </c>
      <c r="I3780" t="str">
        <f t="shared" si="509"/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>
        <v>70</v>
      </c>
      <c r="AT3780" t="str">
        <f t="shared" si="510"/>
        <v>9791137602663</v>
      </c>
      <c r="AV3780" t="str">
        <f t="shared" si="511"/>
        <v>판타지 웹소설 &gt; 퓨전 판타지</v>
      </c>
    </row>
    <row r="3781" spans="1:48" x14ac:dyDescent="0.4">
      <c r="A3781">
        <v>2313012849</v>
      </c>
      <c r="B3781">
        <v>2313013943</v>
      </c>
      <c r="C3781" t="str">
        <f>T("디버프 마스터 1095화")</f>
        <v>디버프 마스터 1095화</v>
      </c>
      <c r="D3781" t="str">
        <f>T("1095")</f>
        <v>1095</v>
      </c>
      <c r="E3781" t="str">
        <f t="shared" si="508"/>
        <v>담화공</v>
      </c>
      <c r="H3781" t="str">
        <f t="shared" si="512"/>
        <v>스토리위즈</v>
      </c>
      <c r="I3781" t="str">
        <f t="shared" si="509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>
        <v>70</v>
      </c>
      <c r="AT3781" t="str">
        <f t="shared" si="510"/>
        <v>9791137602663</v>
      </c>
      <c r="AV3781" t="str">
        <f t="shared" si="511"/>
        <v>판타지 웹소설 &gt; 퓨전 판타지</v>
      </c>
    </row>
    <row r="3782" spans="1:48" x14ac:dyDescent="0.4">
      <c r="A3782">
        <v>2313012849</v>
      </c>
      <c r="B3782">
        <v>2313013944</v>
      </c>
      <c r="C3782" t="str">
        <f>T("디버프 마스터 1096화")</f>
        <v>디버프 마스터 1096화</v>
      </c>
      <c r="D3782" t="str">
        <f>T("1096")</f>
        <v>1096</v>
      </c>
      <c r="E3782" t="str">
        <f t="shared" si="508"/>
        <v>담화공</v>
      </c>
      <c r="H3782" t="str">
        <f t="shared" si="512"/>
        <v>스토리위즈</v>
      </c>
      <c r="I3782" t="str">
        <f t="shared" si="509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>
        <v>70</v>
      </c>
      <c r="AT3782" t="str">
        <f t="shared" si="510"/>
        <v>9791137602663</v>
      </c>
      <c r="AV3782" t="str">
        <f t="shared" si="511"/>
        <v>판타지 웹소설 &gt; 퓨전 판타지</v>
      </c>
    </row>
    <row r="3783" spans="1:48" x14ac:dyDescent="0.4">
      <c r="A3783">
        <v>2313012849</v>
      </c>
      <c r="B3783">
        <v>2313013945</v>
      </c>
      <c r="C3783" t="str">
        <f>T("디버프 마스터 1097화")</f>
        <v>디버프 마스터 1097화</v>
      </c>
      <c r="D3783" t="str">
        <f>T("1097")</f>
        <v>1097</v>
      </c>
      <c r="E3783" t="str">
        <f t="shared" si="508"/>
        <v>담화공</v>
      </c>
      <c r="H3783" t="str">
        <f t="shared" si="512"/>
        <v>스토리위즈</v>
      </c>
      <c r="I3783" t="str">
        <f t="shared" si="509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>
        <v>70</v>
      </c>
      <c r="AT3783" t="str">
        <f t="shared" si="510"/>
        <v>9791137602663</v>
      </c>
      <c r="AV3783" t="str">
        <f t="shared" si="511"/>
        <v>판타지 웹소설 &gt; 퓨전 판타지</v>
      </c>
    </row>
    <row r="3784" spans="1:48" x14ac:dyDescent="0.4">
      <c r="A3784">
        <v>2313012849</v>
      </c>
      <c r="B3784">
        <v>2313013946</v>
      </c>
      <c r="C3784" t="str">
        <f>T("디버프 마스터 1098화")</f>
        <v>디버프 마스터 1098화</v>
      </c>
      <c r="D3784" t="str">
        <f>T("1098")</f>
        <v>1098</v>
      </c>
      <c r="E3784" t="str">
        <f t="shared" ref="E3784:E3847" si="513">T("담화공")</f>
        <v>담화공</v>
      </c>
      <c r="H3784" t="str">
        <f t="shared" si="512"/>
        <v>스토리위즈</v>
      </c>
      <c r="I3784" t="str">
        <f t="shared" ref="I3784:I3847" si="514">T("디버프 마스터")</f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>
        <v>70</v>
      </c>
      <c r="AT3784" t="str">
        <f t="shared" ref="AT3784:AT3847" si="515">T("9791137602663")</f>
        <v>9791137602663</v>
      </c>
      <c r="AV3784" t="str">
        <f t="shared" ref="AV3784:AV3847" si="516">T("판타지 웹소설 &gt; 퓨전 판타지")</f>
        <v>판타지 웹소설 &gt; 퓨전 판타지</v>
      </c>
    </row>
    <row r="3785" spans="1:48" x14ac:dyDescent="0.4">
      <c r="A3785">
        <v>2313012849</v>
      </c>
      <c r="B3785">
        <v>2313013947</v>
      </c>
      <c r="C3785" t="str">
        <f>T("디버프 마스터 1099화")</f>
        <v>디버프 마스터 1099화</v>
      </c>
      <c r="D3785" t="str">
        <f>T("1099")</f>
        <v>1099</v>
      </c>
      <c r="E3785" t="str">
        <f t="shared" si="513"/>
        <v>담화공</v>
      </c>
      <c r="H3785" t="str">
        <f t="shared" si="512"/>
        <v>스토리위즈</v>
      </c>
      <c r="I3785" t="str">
        <f t="shared" si="514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>
        <v>70</v>
      </c>
      <c r="AT3785" t="str">
        <f t="shared" si="515"/>
        <v>9791137602663</v>
      </c>
      <c r="AV3785" t="str">
        <f t="shared" si="516"/>
        <v>판타지 웹소설 &gt; 퓨전 판타지</v>
      </c>
    </row>
    <row r="3786" spans="1:48" x14ac:dyDescent="0.4">
      <c r="A3786">
        <v>2313012849</v>
      </c>
      <c r="B3786">
        <v>2313013948</v>
      </c>
      <c r="C3786" t="str">
        <f>T("디버프 마스터 1100화")</f>
        <v>디버프 마스터 1100화</v>
      </c>
      <c r="D3786" t="str">
        <f>T("1100")</f>
        <v>1100</v>
      </c>
      <c r="E3786" t="str">
        <f t="shared" si="513"/>
        <v>담화공</v>
      </c>
      <c r="H3786" t="str">
        <f t="shared" si="512"/>
        <v>스토리위즈</v>
      </c>
      <c r="I3786" t="str">
        <f t="shared" si="514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>
        <v>70</v>
      </c>
      <c r="AT3786" t="str">
        <f t="shared" si="515"/>
        <v>9791137602663</v>
      </c>
      <c r="AV3786" t="str">
        <f t="shared" si="516"/>
        <v>판타지 웹소설 &gt; 퓨전 판타지</v>
      </c>
    </row>
    <row r="3787" spans="1:48" x14ac:dyDescent="0.4">
      <c r="A3787">
        <v>2313012849</v>
      </c>
      <c r="B3787">
        <v>2313013949</v>
      </c>
      <c r="C3787" t="str">
        <f>T("디버프 마스터 1101화")</f>
        <v>디버프 마스터 1101화</v>
      </c>
      <c r="D3787" t="str">
        <f>T("1101")</f>
        <v>1101</v>
      </c>
      <c r="E3787" t="str">
        <f t="shared" si="513"/>
        <v>담화공</v>
      </c>
      <c r="H3787" t="str">
        <f t="shared" si="512"/>
        <v>스토리위즈</v>
      </c>
      <c r="I3787" t="str">
        <f t="shared" si="514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>
        <v>70</v>
      </c>
      <c r="AT3787" t="str">
        <f t="shared" si="515"/>
        <v>9791137602663</v>
      </c>
      <c r="AV3787" t="str">
        <f t="shared" si="516"/>
        <v>판타지 웹소설 &gt; 퓨전 판타지</v>
      </c>
    </row>
    <row r="3788" spans="1:48" x14ac:dyDescent="0.4">
      <c r="A3788">
        <v>2313012849</v>
      </c>
      <c r="B3788">
        <v>2313013950</v>
      </c>
      <c r="C3788" t="str">
        <f>T("디버프 마스터 1102화")</f>
        <v>디버프 마스터 1102화</v>
      </c>
      <c r="D3788" t="str">
        <f>T("1102")</f>
        <v>1102</v>
      </c>
      <c r="E3788" t="str">
        <f t="shared" si="513"/>
        <v>담화공</v>
      </c>
      <c r="H3788" t="str">
        <f t="shared" si="512"/>
        <v>스토리위즈</v>
      </c>
      <c r="I3788" t="str">
        <f t="shared" si="514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>
        <v>70</v>
      </c>
      <c r="AT3788" t="str">
        <f t="shared" si="515"/>
        <v>9791137602663</v>
      </c>
      <c r="AV3788" t="str">
        <f t="shared" si="516"/>
        <v>판타지 웹소설 &gt; 퓨전 판타지</v>
      </c>
    </row>
    <row r="3789" spans="1:48" x14ac:dyDescent="0.4">
      <c r="A3789">
        <v>2313012849</v>
      </c>
      <c r="B3789">
        <v>2313013951</v>
      </c>
      <c r="C3789" t="str">
        <f>T("디버프 마스터 1103화")</f>
        <v>디버프 마스터 1103화</v>
      </c>
      <c r="D3789" t="str">
        <f>T("1103")</f>
        <v>1103</v>
      </c>
      <c r="E3789" t="str">
        <f t="shared" si="513"/>
        <v>담화공</v>
      </c>
      <c r="H3789" t="str">
        <f t="shared" si="512"/>
        <v>스토리위즈</v>
      </c>
      <c r="I3789" t="str">
        <f t="shared" si="514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>
        <v>70</v>
      </c>
      <c r="AT3789" t="str">
        <f t="shared" si="515"/>
        <v>9791137602663</v>
      </c>
      <c r="AV3789" t="str">
        <f t="shared" si="516"/>
        <v>판타지 웹소설 &gt; 퓨전 판타지</v>
      </c>
    </row>
    <row r="3790" spans="1:48" x14ac:dyDescent="0.4">
      <c r="A3790">
        <v>2313012849</v>
      </c>
      <c r="B3790">
        <v>2313013952</v>
      </c>
      <c r="C3790" t="str">
        <f>T("디버프 마스터 1104화")</f>
        <v>디버프 마스터 1104화</v>
      </c>
      <c r="D3790" t="str">
        <f>T("1104")</f>
        <v>1104</v>
      </c>
      <c r="E3790" t="str">
        <f t="shared" si="513"/>
        <v>담화공</v>
      </c>
      <c r="H3790" t="str">
        <f t="shared" si="512"/>
        <v>스토리위즈</v>
      </c>
      <c r="I3790" t="str">
        <f t="shared" si="514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>
        <v>70</v>
      </c>
      <c r="AT3790" t="str">
        <f t="shared" si="515"/>
        <v>9791137602663</v>
      </c>
      <c r="AV3790" t="str">
        <f t="shared" si="516"/>
        <v>판타지 웹소설 &gt; 퓨전 판타지</v>
      </c>
    </row>
    <row r="3791" spans="1:48" x14ac:dyDescent="0.4">
      <c r="A3791">
        <v>2313012849</v>
      </c>
      <c r="B3791">
        <v>2313013953</v>
      </c>
      <c r="C3791" t="str">
        <f>T("디버프 마스터 1105화")</f>
        <v>디버프 마스터 1105화</v>
      </c>
      <c r="D3791" t="str">
        <f>T("1105")</f>
        <v>1105</v>
      </c>
      <c r="E3791" t="str">
        <f t="shared" si="513"/>
        <v>담화공</v>
      </c>
      <c r="H3791" t="str">
        <f t="shared" si="512"/>
        <v>스토리위즈</v>
      </c>
      <c r="I3791" t="str">
        <f t="shared" si="514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>
        <v>70</v>
      </c>
      <c r="AT3791" t="str">
        <f t="shared" si="515"/>
        <v>9791137602663</v>
      </c>
      <c r="AV3791" t="str">
        <f t="shared" si="516"/>
        <v>판타지 웹소설 &gt; 퓨전 판타지</v>
      </c>
    </row>
    <row r="3792" spans="1:48" x14ac:dyDescent="0.4">
      <c r="A3792">
        <v>2313012849</v>
      </c>
      <c r="B3792">
        <v>2313013954</v>
      </c>
      <c r="C3792" t="str">
        <f>T("디버프 마스터 1106화")</f>
        <v>디버프 마스터 1106화</v>
      </c>
      <c r="D3792" t="str">
        <f>T("1106")</f>
        <v>1106</v>
      </c>
      <c r="E3792" t="str">
        <f t="shared" si="513"/>
        <v>담화공</v>
      </c>
      <c r="H3792" t="str">
        <f t="shared" si="512"/>
        <v>스토리위즈</v>
      </c>
      <c r="I3792" t="str">
        <f t="shared" si="514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>
        <v>70</v>
      </c>
      <c r="AT3792" t="str">
        <f t="shared" si="515"/>
        <v>9791137602663</v>
      </c>
      <c r="AV3792" t="str">
        <f t="shared" si="516"/>
        <v>판타지 웹소설 &gt; 퓨전 판타지</v>
      </c>
    </row>
    <row r="3793" spans="1:48" x14ac:dyDescent="0.4">
      <c r="A3793">
        <v>2313012849</v>
      </c>
      <c r="B3793">
        <v>2313013955</v>
      </c>
      <c r="C3793" t="str">
        <f>T("디버프 마스터 1107화")</f>
        <v>디버프 마스터 1107화</v>
      </c>
      <c r="D3793" t="str">
        <f>T("1107")</f>
        <v>1107</v>
      </c>
      <c r="E3793" t="str">
        <f t="shared" si="513"/>
        <v>담화공</v>
      </c>
      <c r="H3793" t="str">
        <f t="shared" si="512"/>
        <v>스토리위즈</v>
      </c>
      <c r="I3793" t="str">
        <f t="shared" si="514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>
        <v>70</v>
      </c>
      <c r="AT3793" t="str">
        <f t="shared" si="515"/>
        <v>9791137602663</v>
      </c>
      <c r="AV3793" t="str">
        <f t="shared" si="516"/>
        <v>판타지 웹소설 &gt; 퓨전 판타지</v>
      </c>
    </row>
    <row r="3794" spans="1:48" x14ac:dyDescent="0.4">
      <c r="A3794">
        <v>2313012849</v>
      </c>
      <c r="B3794">
        <v>2313013956</v>
      </c>
      <c r="C3794" t="str">
        <f>T("디버프 마스터 1108화")</f>
        <v>디버프 마스터 1108화</v>
      </c>
      <c r="D3794" t="str">
        <f>T("1108")</f>
        <v>1108</v>
      </c>
      <c r="E3794" t="str">
        <f t="shared" si="513"/>
        <v>담화공</v>
      </c>
      <c r="H3794" t="str">
        <f t="shared" si="512"/>
        <v>스토리위즈</v>
      </c>
      <c r="I3794" t="str">
        <f t="shared" si="514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>
        <v>70</v>
      </c>
      <c r="AT3794" t="str">
        <f t="shared" si="515"/>
        <v>9791137602663</v>
      </c>
      <c r="AV3794" t="str">
        <f t="shared" si="516"/>
        <v>판타지 웹소설 &gt; 퓨전 판타지</v>
      </c>
    </row>
    <row r="3795" spans="1:48" x14ac:dyDescent="0.4">
      <c r="A3795">
        <v>2313012849</v>
      </c>
      <c r="B3795">
        <v>2313013957</v>
      </c>
      <c r="C3795" t="str">
        <f>T("디버프 마스터 1109화")</f>
        <v>디버프 마스터 1109화</v>
      </c>
      <c r="D3795" t="str">
        <f>T("1109")</f>
        <v>1109</v>
      </c>
      <c r="E3795" t="str">
        <f t="shared" si="513"/>
        <v>담화공</v>
      </c>
      <c r="H3795" t="str">
        <f t="shared" si="512"/>
        <v>스토리위즈</v>
      </c>
      <c r="I3795" t="str">
        <f t="shared" si="514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>
        <v>70</v>
      </c>
      <c r="AT3795" t="str">
        <f t="shared" si="515"/>
        <v>9791137602663</v>
      </c>
      <c r="AV3795" t="str">
        <f t="shared" si="516"/>
        <v>판타지 웹소설 &gt; 퓨전 판타지</v>
      </c>
    </row>
    <row r="3796" spans="1:48" x14ac:dyDescent="0.4">
      <c r="A3796">
        <v>2313012849</v>
      </c>
      <c r="B3796">
        <v>2313013958</v>
      </c>
      <c r="C3796" t="str">
        <f>T("디버프 마스터 1110화")</f>
        <v>디버프 마스터 1110화</v>
      </c>
      <c r="D3796" t="str">
        <f>T("1110")</f>
        <v>1110</v>
      </c>
      <c r="E3796" t="str">
        <f t="shared" si="513"/>
        <v>담화공</v>
      </c>
      <c r="H3796" t="str">
        <f t="shared" si="512"/>
        <v>스토리위즈</v>
      </c>
      <c r="I3796" t="str">
        <f t="shared" si="514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>
        <v>70</v>
      </c>
      <c r="AT3796" t="str">
        <f t="shared" si="515"/>
        <v>9791137602663</v>
      </c>
      <c r="AV3796" t="str">
        <f t="shared" si="516"/>
        <v>판타지 웹소설 &gt; 퓨전 판타지</v>
      </c>
    </row>
    <row r="3797" spans="1:48" x14ac:dyDescent="0.4">
      <c r="A3797">
        <v>2313012849</v>
      </c>
      <c r="B3797">
        <v>2313013959</v>
      </c>
      <c r="C3797" t="str">
        <f>T("디버프 마스터 1111화")</f>
        <v>디버프 마스터 1111화</v>
      </c>
      <c r="D3797" t="str">
        <f>T("1111")</f>
        <v>1111</v>
      </c>
      <c r="E3797" t="str">
        <f t="shared" si="513"/>
        <v>담화공</v>
      </c>
      <c r="H3797" t="str">
        <f t="shared" si="512"/>
        <v>스토리위즈</v>
      </c>
      <c r="I3797" t="str">
        <f t="shared" si="514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>
        <v>70</v>
      </c>
      <c r="AT3797" t="str">
        <f t="shared" si="515"/>
        <v>9791137602663</v>
      </c>
      <c r="AV3797" t="str">
        <f t="shared" si="516"/>
        <v>판타지 웹소설 &gt; 퓨전 판타지</v>
      </c>
    </row>
    <row r="3798" spans="1:48" x14ac:dyDescent="0.4">
      <c r="A3798">
        <v>2313012849</v>
      </c>
      <c r="B3798">
        <v>2313013960</v>
      </c>
      <c r="C3798" t="str">
        <f>T("디버프 마스터 1112화")</f>
        <v>디버프 마스터 1112화</v>
      </c>
      <c r="D3798" t="str">
        <f>T("1112")</f>
        <v>1112</v>
      </c>
      <c r="E3798" t="str">
        <f t="shared" si="513"/>
        <v>담화공</v>
      </c>
      <c r="H3798" t="str">
        <f t="shared" si="512"/>
        <v>스토리위즈</v>
      </c>
      <c r="I3798" t="str">
        <f t="shared" si="514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>
        <v>70</v>
      </c>
      <c r="AT3798" t="str">
        <f t="shared" si="515"/>
        <v>9791137602663</v>
      </c>
      <c r="AV3798" t="str">
        <f t="shared" si="516"/>
        <v>판타지 웹소설 &gt; 퓨전 판타지</v>
      </c>
    </row>
    <row r="3799" spans="1:48" x14ac:dyDescent="0.4">
      <c r="A3799">
        <v>2313012849</v>
      </c>
      <c r="B3799">
        <v>2313013961</v>
      </c>
      <c r="C3799" t="str">
        <f>T("디버프 마스터 1113화")</f>
        <v>디버프 마스터 1113화</v>
      </c>
      <c r="D3799" t="str">
        <f>T("1113")</f>
        <v>1113</v>
      </c>
      <c r="E3799" t="str">
        <f t="shared" si="513"/>
        <v>담화공</v>
      </c>
      <c r="H3799" t="str">
        <f t="shared" si="512"/>
        <v>스토리위즈</v>
      </c>
      <c r="I3799" t="str">
        <f t="shared" si="514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>
        <v>70</v>
      </c>
      <c r="AT3799" t="str">
        <f t="shared" si="515"/>
        <v>9791137602663</v>
      </c>
      <c r="AV3799" t="str">
        <f t="shared" si="516"/>
        <v>판타지 웹소설 &gt; 퓨전 판타지</v>
      </c>
    </row>
    <row r="3800" spans="1:48" x14ac:dyDescent="0.4">
      <c r="A3800">
        <v>2313012849</v>
      </c>
      <c r="B3800">
        <v>2313013962</v>
      </c>
      <c r="C3800" t="str">
        <f>T("디버프 마스터 1114화")</f>
        <v>디버프 마스터 1114화</v>
      </c>
      <c r="D3800" t="str">
        <f>T("1114")</f>
        <v>1114</v>
      </c>
      <c r="E3800" t="str">
        <f t="shared" si="513"/>
        <v>담화공</v>
      </c>
      <c r="H3800" t="str">
        <f t="shared" si="512"/>
        <v>스토리위즈</v>
      </c>
      <c r="I3800" t="str">
        <f t="shared" si="514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>
        <v>70</v>
      </c>
      <c r="AT3800" t="str">
        <f t="shared" si="515"/>
        <v>9791137602663</v>
      </c>
      <c r="AV3800" t="str">
        <f t="shared" si="516"/>
        <v>판타지 웹소설 &gt; 퓨전 판타지</v>
      </c>
    </row>
    <row r="3801" spans="1:48" x14ac:dyDescent="0.4">
      <c r="A3801">
        <v>2313012849</v>
      </c>
      <c r="B3801">
        <v>2313013963</v>
      </c>
      <c r="C3801" t="str">
        <f>T("디버프 마스터 1115화")</f>
        <v>디버프 마스터 1115화</v>
      </c>
      <c r="D3801" t="str">
        <f>T("1115")</f>
        <v>1115</v>
      </c>
      <c r="E3801" t="str">
        <f t="shared" si="513"/>
        <v>담화공</v>
      </c>
      <c r="H3801" t="str">
        <f t="shared" si="512"/>
        <v>스토리위즈</v>
      </c>
      <c r="I3801" t="str">
        <f t="shared" si="514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>
        <v>70</v>
      </c>
      <c r="AT3801" t="str">
        <f t="shared" si="515"/>
        <v>9791137602663</v>
      </c>
      <c r="AV3801" t="str">
        <f t="shared" si="516"/>
        <v>판타지 웹소설 &gt; 퓨전 판타지</v>
      </c>
    </row>
    <row r="3802" spans="1:48" x14ac:dyDescent="0.4">
      <c r="A3802">
        <v>2313012849</v>
      </c>
      <c r="B3802">
        <v>2313013964</v>
      </c>
      <c r="C3802" t="str">
        <f>T("디버프 마스터 1116화")</f>
        <v>디버프 마스터 1116화</v>
      </c>
      <c r="D3802" t="str">
        <f>T("1116")</f>
        <v>1116</v>
      </c>
      <c r="E3802" t="str">
        <f t="shared" si="513"/>
        <v>담화공</v>
      </c>
      <c r="H3802" t="str">
        <f t="shared" si="512"/>
        <v>스토리위즈</v>
      </c>
      <c r="I3802" t="str">
        <f t="shared" si="514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>
        <v>70</v>
      </c>
      <c r="AT3802" t="str">
        <f t="shared" si="515"/>
        <v>9791137602663</v>
      </c>
      <c r="AV3802" t="str">
        <f t="shared" si="516"/>
        <v>판타지 웹소설 &gt; 퓨전 판타지</v>
      </c>
    </row>
    <row r="3803" spans="1:48" x14ac:dyDescent="0.4">
      <c r="A3803">
        <v>2313012849</v>
      </c>
      <c r="B3803">
        <v>2313013965</v>
      </c>
      <c r="C3803" t="str">
        <f>T("디버프 마스터 1117화")</f>
        <v>디버프 마스터 1117화</v>
      </c>
      <c r="D3803" t="str">
        <f>T("1117")</f>
        <v>1117</v>
      </c>
      <c r="E3803" t="str">
        <f t="shared" si="513"/>
        <v>담화공</v>
      </c>
      <c r="H3803" t="str">
        <f t="shared" si="512"/>
        <v>스토리위즈</v>
      </c>
      <c r="I3803" t="str">
        <f t="shared" si="514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>
        <v>70</v>
      </c>
      <c r="AT3803" t="str">
        <f t="shared" si="515"/>
        <v>9791137602663</v>
      </c>
      <c r="AV3803" t="str">
        <f t="shared" si="516"/>
        <v>판타지 웹소설 &gt; 퓨전 판타지</v>
      </c>
    </row>
    <row r="3804" spans="1:48" x14ac:dyDescent="0.4">
      <c r="A3804">
        <v>2313012849</v>
      </c>
      <c r="B3804">
        <v>2313013966</v>
      </c>
      <c r="C3804" t="str">
        <f>T("디버프 마스터 1118화")</f>
        <v>디버프 마스터 1118화</v>
      </c>
      <c r="D3804" t="str">
        <f>T("1118")</f>
        <v>1118</v>
      </c>
      <c r="E3804" t="str">
        <f t="shared" si="513"/>
        <v>담화공</v>
      </c>
      <c r="H3804" t="str">
        <f t="shared" si="512"/>
        <v>스토리위즈</v>
      </c>
      <c r="I3804" t="str">
        <f t="shared" si="514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>
        <v>70</v>
      </c>
      <c r="AT3804" t="str">
        <f t="shared" si="515"/>
        <v>9791137602663</v>
      </c>
      <c r="AV3804" t="str">
        <f t="shared" si="516"/>
        <v>판타지 웹소설 &gt; 퓨전 판타지</v>
      </c>
    </row>
    <row r="3805" spans="1:48" x14ac:dyDescent="0.4">
      <c r="A3805">
        <v>2313012849</v>
      </c>
      <c r="B3805">
        <v>2313013967</v>
      </c>
      <c r="C3805" t="str">
        <f>T("디버프 마스터 1119화")</f>
        <v>디버프 마스터 1119화</v>
      </c>
      <c r="D3805" t="str">
        <f>T("1119")</f>
        <v>1119</v>
      </c>
      <c r="E3805" t="str">
        <f t="shared" si="513"/>
        <v>담화공</v>
      </c>
      <c r="H3805" t="str">
        <f t="shared" si="512"/>
        <v>스토리위즈</v>
      </c>
      <c r="I3805" t="str">
        <f t="shared" si="514"/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>
        <v>70</v>
      </c>
      <c r="AT3805" t="str">
        <f t="shared" si="515"/>
        <v>9791137602663</v>
      </c>
      <c r="AV3805" t="str">
        <f t="shared" si="516"/>
        <v>판타지 웹소설 &gt; 퓨전 판타지</v>
      </c>
    </row>
    <row r="3806" spans="1:48" x14ac:dyDescent="0.4">
      <c r="A3806">
        <v>2313012849</v>
      </c>
      <c r="B3806">
        <v>2313013968</v>
      </c>
      <c r="C3806" t="str">
        <f>T("디버프 마스터 1120화")</f>
        <v>디버프 마스터 1120화</v>
      </c>
      <c r="D3806" t="str">
        <f>T("1120")</f>
        <v>1120</v>
      </c>
      <c r="E3806" t="str">
        <f t="shared" si="513"/>
        <v>담화공</v>
      </c>
      <c r="H3806" t="str">
        <f t="shared" si="512"/>
        <v>스토리위즈</v>
      </c>
      <c r="I3806" t="str">
        <f t="shared" si="514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>
        <v>70</v>
      </c>
      <c r="AT3806" t="str">
        <f t="shared" si="515"/>
        <v>9791137602663</v>
      </c>
      <c r="AV3806" t="str">
        <f t="shared" si="516"/>
        <v>판타지 웹소설 &gt; 퓨전 판타지</v>
      </c>
    </row>
    <row r="3807" spans="1:48" x14ac:dyDescent="0.4">
      <c r="A3807">
        <v>2313012849</v>
      </c>
      <c r="B3807">
        <v>2313013969</v>
      </c>
      <c r="C3807" t="str">
        <f>T("디버프 마스터 1121화")</f>
        <v>디버프 마스터 1121화</v>
      </c>
      <c r="D3807" t="str">
        <f>T("1121")</f>
        <v>1121</v>
      </c>
      <c r="E3807" t="str">
        <f t="shared" si="513"/>
        <v>담화공</v>
      </c>
      <c r="H3807" t="str">
        <f t="shared" si="512"/>
        <v>스토리위즈</v>
      </c>
      <c r="I3807" t="str">
        <f t="shared" si="514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>
        <v>70</v>
      </c>
      <c r="AT3807" t="str">
        <f t="shared" si="515"/>
        <v>9791137602663</v>
      </c>
      <c r="AV3807" t="str">
        <f t="shared" si="516"/>
        <v>판타지 웹소설 &gt; 퓨전 판타지</v>
      </c>
    </row>
    <row r="3808" spans="1:48" x14ac:dyDescent="0.4">
      <c r="A3808">
        <v>2313012849</v>
      </c>
      <c r="B3808">
        <v>2313013970</v>
      </c>
      <c r="C3808" t="str">
        <f>T("디버프 마스터 1122화")</f>
        <v>디버프 마스터 1122화</v>
      </c>
      <c r="D3808" t="str">
        <f>T("1122")</f>
        <v>1122</v>
      </c>
      <c r="E3808" t="str">
        <f t="shared" si="513"/>
        <v>담화공</v>
      </c>
      <c r="H3808" t="str">
        <f t="shared" si="512"/>
        <v>스토리위즈</v>
      </c>
      <c r="I3808" t="str">
        <f t="shared" si="514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>
        <v>70</v>
      </c>
      <c r="AT3808" t="str">
        <f t="shared" si="515"/>
        <v>9791137602663</v>
      </c>
      <c r="AV3808" t="str">
        <f t="shared" si="516"/>
        <v>판타지 웹소설 &gt; 퓨전 판타지</v>
      </c>
    </row>
    <row r="3809" spans="1:48" x14ac:dyDescent="0.4">
      <c r="A3809">
        <v>2313012849</v>
      </c>
      <c r="B3809">
        <v>2313013971</v>
      </c>
      <c r="C3809" t="str">
        <f>T("디버프 마스터 1123화")</f>
        <v>디버프 마스터 1123화</v>
      </c>
      <c r="D3809" t="str">
        <f>T("1123")</f>
        <v>1123</v>
      </c>
      <c r="E3809" t="str">
        <f t="shared" si="513"/>
        <v>담화공</v>
      </c>
      <c r="H3809" t="str">
        <f t="shared" si="512"/>
        <v>스토리위즈</v>
      </c>
      <c r="I3809" t="str">
        <f t="shared" si="514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>
        <v>70</v>
      </c>
      <c r="AT3809" t="str">
        <f t="shared" si="515"/>
        <v>9791137602663</v>
      </c>
      <c r="AV3809" t="str">
        <f t="shared" si="516"/>
        <v>판타지 웹소설 &gt; 퓨전 판타지</v>
      </c>
    </row>
    <row r="3810" spans="1:48" x14ac:dyDescent="0.4">
      <c r="A3810">
        <v>2313012849</v>
      </c>
      <c r="B3810">
        <v>2313013972</v>
      </c>
      <c r="C3810" t="str">
        <f>T("디버프 마스터 1124화")</f>
        <v>디버프 마스터 1124화</v>
      </c>
      <c r="D3810" t="str">
        <f>T("1124")</f>
        <v>1124</v>
      </c>
      <c r="E3810" t="str">
        <f t="shared" si="513"/>
        <v>담화공</v>
      </c>
      <c r="H3810" t="str">
        <f t="shared" si="512"/>
        <v>스토리위즈</v>
      </c>
      <c r="I3810" t="str">
        <f t="shared" si="514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>
        <v>70</v>
      </c>
      <c r="AT3810" t="str">
        <f t="shared" si="515"/>
        <v>9791137602663</v>
      </c>
      <c r="AV3810" t="str">
        <f t="shared" si="516"/>
        <v>판타지 웹소설 &gt; 퓨전 판타지</v>
      </c>
    </row>
    <row r="3811" spans="1:48" x14ac:dyDescent="0.4">
      <c r="A3811">
        <v>2313012849</v>
      </c>
      <c r="B3811">
        <v>2313013973</v>
      </c>
      <c r="C3811" t="str">
        <f>T("디버프 마스터 1125화")</f>
        <v>디버프 마스터 1125화</v>
      </c>
      <c r="D3811" t="str">
        <f>T("1125")</f>
        <v>1125</v>
      </c>
      <c r="E3811" t="str">
        <f t="shared" si="513"/>
        <v>담화공</v>
      </c>
      <c r="H3811" t="str">
        <f t="shared" si="512"/>
        <v>스토리위즈</v>
      </c>
      <c r="I3811" t="str">
        <f t="shared" si="514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>
        <v>70</v>
      </c>
      <c r="AT3811" t="str">
        <f t="shared" si="515"/>
        <v>9791137602663</v>
      </c>
      <c r="AV3811" t="str">
        <f t="shared" si="516"/>
        <v>판타지 웹소설 &gt; 퓨전 판타지</v>
      </c>
    </row>
    <row r="3812" spans="1:48" x14ac:dyDescent="0.4">
      <c r="A3812">
        <v>2313012849</v>
      </c>
      <c r="B3812">
        <v>2313013974</v>
      </c>
      <c r="C3812" t="str">
        <f>T("디버프 마스터 1126화")</f>
        <v>디버프 마스터 1126화</v>
      </c>
      <c r="D3812" t="str">
        <f>T("1126")</f>
        <v>1126</v>
      </c>
      <c r="E3812" t="str">
        <f t="shared" si="513"/>
        <v>담화공</v>
      </c>
      <c r="H3812" t="str">
        <f t="shared" si="512"/>
        <v>스토리위즈</v>
      </c>
      <c r="I3812" t="str">
        <f t="shared" si="514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>
        <v>70</v>
      </c>
      <c r="AT3812" t="str">
        <f t="shared" si="515"/>
        <v>9791137602663</v>
      </c>
      <c r="AV3812" t="str">
        <f t="shared" si="516"/>
        <v>판타지 웹소설 &gt; 퓨전 판타지</v>
      </c>
    </row>
    <row r="3813" spans="1:48" x14ac:dyDescent="0.4">
      <c r="A3813">
        <v>2313012849</v>
      </c>
      <c r="B3813">
        <v>2313013975</v>
      </c>
      <c r="C3813" t="str">
        <f>T("디버프 마스터 1127화")</f>
        <v>디버프 마스터 1127화</v>
      </c>
      <c r="D3813" t="str">
        <f>T("1127")</f>
        <v>1127</v>
      </c>
      <c r="E3813" t="str">
        <f t="shared" si="513"/>
        <v>담화공</v>
      </c>
      <c r="H3813" t="str">
        <f t="shared" si="512"/>
        <v>스토리위즈</v>
      </c>
      <c r="I3813" t="str">
        <f t="shared" si="514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>
        <v>70</v>
      </c>
      <c r="AT3813" t="str">
        <f t="shared" si="515"/>
        <v>9791137602663</v>
      </c>
      <c r="AV3813" t="str">
        <f t="shared" si="516"/>
        <v>판타지 웹소설 &gt; 퓨전 판타지</v>
      </c>
    </row>
    <row r="3814" spans="1:48" x14ac:dyDescent="0.4">
      <c r="A3814">
        <v>2313012849</v>
      </c>
      <c r="B3814">
        <v>2313013976</v>
      </c>
      <c r="C3814" t="str">
        <f>T("디버프 마스터 1128화")</f>
        <v>디버프 마스터 1128화</v>
      </c>
      <c r="D3814" t="str">
        <f>T("1128")</f>
        <v>1128</v>
      </c>
      <c r="E3814" t="str">
        <f t="shared" si="513"/>
        <v>담화공</v>
      </c>
      <c r="H3814" t="str">
        <f t="shared" si="512"/>
        <v>스토리위즈</v>
      </c>
      <c r="I3814" t="str">
        <f t="shared" si="514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>
        <v>70</v>
      </c>
      <c r="AT3814" t="str">
        <f t="shared" si="515"/>
        <v>9791137602663</v>
      </c>
      <c r="AV3814" t="str">
        <f t="shared" si="516"/>
        <v>판타지 웹소설 &gt; 퓨전 판타지</v>
      </c>
    </row>
    <row r="3815" spans="1:48" x14ac:dyDescent="0.4">
      <c r="A3815">
        <v>2313012849</v>
      </c>
      <c r="B3815">
        <v>2313013977</v>
      </c>
      <c r="C3815" t="str">
        <f>T("디버프 마스터 1129화")</f>
        <v>디버프 마스터 1129화</v>
      </c>
      <c r="D3815" t="str">
        <f>T("1129")</f>
        <v>1129</v>
      </c>
      <c r="E3815" t="str">
        <f t="shared" si="513"/>
        <v>담화공</v>
      </c>
      <c r="H3815" t="str">
        <f t="shared" si="512"/>
        <v>스토리위즈</v>
      </c>
      <c r="I3815" t="str">
        <f t="shared" si="514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>
        <v>70</v>
      </c>
      <c r="AT3815" t="str">
        <f t="shared" si="515"/>
        <v>9791137602663</v>
      </c>
      <c r="AV3815" t="str">
        <f t="shared" si="516"/>
        <v>판타지 웹소설 &gt; 퓨전 판타지</v>
      </c>
    </row>
    <row r="3816" spans="1:48" x14ac:dyDescent="0.4">
      <c r="A3816">
        <v>2313012849</v>
      </c>
      <c r="B3816">
        <v>2313013978</v>
      </c>
      <c r="C3816" t="str">
        <f>T("디버프 마스터 1130화")</f>
        <v>디버프 마스터 1130화</v>
      </c>
      <c r="D3816" t="str">
        <f>T("1130")</f>
        <v>1130</v>
      </c>
      <c r="E3816" t="str">
        <f t="shared" si="513"/>
        <v>담화공</v>
      </c>
      <c r="H3816" t="str">
        <f t="shared" si="512"/>
        <v>스토리위즈</v>
      </c>
      <c r="I3816" t="str">
        <f t="shared" si="514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>
        <v>70</v>
      </c>
      <c r="AT3816" t="str">
        <f t="shared" si="515"/>
        <v>9791137602663</v>
      </c>
      <c r="AV3816" t="str">
        <f t="shared" si="516"/>
        <v>판타지 웹소설 &gt; 퓨전 판타지</v>
      </c>
    </row>
    <row r="3817" spans="1:48" x14ac:dyDescent="0.4">
      <c r="A3817">
        <v>2313012849</v>
      </c>
      <c r="B3817">
        <v>2313013979</v>
      </c>
      <c r="C3817" t="str">
        <f>T("디버프 마스터 1131화")</f>
        <v>디버프 마스터 1131화</v>
      </c>
      <c r="D3817" t="str">
        <f>T("1131")</f>
        <v>1131</v>
      </c>
      <c r="E3817" t="str">
        <f t="shared" si="513"/>
        <v>담화공</v>
      </c>
      <c r="H3817" t="str">
        <f t="shared" si="512"/>
        <v>스토리위즈</v>
      </c>
      <c r="I3817" t="str">
        <f t="shared" si="514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>
        <v>70</v>
      </c>
      <c r="AT3817" t="str">
        <f t="shared" si="515"/>
        <v>9791137602663</v>
      </c>
      <c r="AV3817" t="str">
        <f t="shared" si="516"/>
        <v>판타지 웹소설 &gt; 퓨전 판타지</v>
      </c>
    </row>
    <row r="3818" spans="1:48" x14ac:dyDescent="0.4">
      <c r="A3818">
        <v>2313012849</v>
      </c>
      <c r="B3818">
        <v>2313013980</v>
      </c>
      <c r="C3818" t="str">
        <f>T("디버프 마스터 1132화")</f>
        <v>디버프 마스터 1132화</v>
      </c>
      <c r="D3818" t="str">
        <f>T("1132")</f>
        <v>1132</v>
      </c>
      <c r="E3818" t="str">
        <f t="shared" si="513"/>
        <v>담화공</v>
      </c>
      <c r="H3818" t="str">
        <f t="shared" si="512"/>
        <v>스토리위즈</v>
      </c>
      <c r="I3818" t="str">
        <f t="shared" si="514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>
        <v>70</v>
      </c>
      <c r="AT3818" t="str">
        <f t="shared" si="515"/>
        <v>9791137602663</v>
      </c>
      <c r="AV3818" t="str">
        <f t="shared" si="516"/>
        <v>판타지 웹소설 &gt; 퓨전 판타지</v>
      </c>
    </row>
    <row r="3819" spans="1:48" x14ac:dyDescent="0.4">
      <c r="A3819">
        <v>2313012849</v>
      </c>
      <c r="B3819">
        <v>2313013981</v>
      </c>
      <c r="C3819" t="str">
        <f>T("디버프 마스터 1133화")</f>
        <v>디버프 마스터 1133화</v>
      </c>
      <c r="D3819" t="str">
        <f>T("1133")</f>
        <v>1133</v>
      </c>
      <c r="E3819" t="str">
        <f t="shared" si="513"/>
        <v>담화공</v>
      </c>
      <c r="H3819" t="str">
        <f t="shared" si="512"/>
        <v>스토리위즈</v>
      </c>
      <c r="I3819" t="str">
        <f t="shared" si="514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>
        <v>70</v>
      </c>
      <c r="AT3819" t="str">
        <f t="shared" si="515"/>
        <v>9791137602663</v>
      </c>
      <c r="AV3819" t="str">
        <f t="shared" si="516"/>
        <v>판타지 웹소설 &gt; 퓨전 판타지</v>
      </c>
    </row>
    <row r="3820" spans="1:48" x14ac:dyDescent="0.4">
      <c r="A3820">
        <v>2313012849</v>
      </c>
      <c r="B3820">
        <v>2313013982</v>
      </c>
      <c r="C3820" t="str">
        <f>T("디버프 마스터 1134화")</f>
        <v>디버프 마스터 1134화</v>
      </c>
      <c r="D3820" t="str">
        <f>T("1134")</f>
        <v>1134</v>
      </c>
      <c r="E3820" t="str">
        <f t="shared" si="513"/>
        <v>담화공</v>
      </c>
      <c r="H3820" t="str">
        <f t="shared" si="512"/>
        <v>스토리위즈</v>
      </c>
      <c r="I3820" t="str">
        <f t="shared" si="514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>
        <v>70</v>
      </c>
      <c r="AT3820" t="str">
        <f t="shared" si="515"/>
        <v>9791137602663</v>
      </c>
      <c r="AV3820" t="str">
        <f t="shared" si="516"/>
        <v>판타지 웹소설 &gt; 퓨전 판타지</v>
      </c>
    </row>
    <row r="3821" spans="1:48" x14ac:dyDescent="0.4">
      <c r="A3821">
        <v>2313012849</v>
      </c>
      <c r="B3821">
        <v>2313013983</v>
      </c>
      <c r="C3821" t="str">
        <f>T("디버프 마스터 1135화")</f>
        <v>디버프 마스터 1135화</v>
      </c>
      <c r="D3821" t="str">
        <f>T("1135")</f>
        <v>1135</v>
      </c>
      <c r="E3821" t="str">
        <f t="shared" si="513"/>
        <v>담화공</v>
      </c>
      <c r="H3821" t="str">
        <f t="shared" si="512"/>
        <v>스토리위즈</v>
      </c>
      <c r="I3821" t="str">
        <f t="shared" si="514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>
        <v>70</v>
      </c>
      <c r="AT3821" t="str">
        <f t="shared" si="515"/>
        <v>9791137602663</v>
      </c>
      <c r="AV3821" t="str">
        <f t="shared" si="516"/>
        <v>판타지 웹소설 &gt; 퓨전 판타지</v>
      </c>
    </row>
    <row r="3822" spans="1:48" x14ac:dyDescent="0.4">
      <c r="A3822">
        <v>2313012849</v>
      </c>
      <c r="B3822">
        <v>2313013984</v>
      </c>
      <c r="C3822" t="str">
        <f>T("디버프 마스터 1136화")</f>
        <v>디버프 마스터 1136화</v>
      </c>
      <c r="D3822" t="str">
        <f>T("1136")</f>
        <v>1136</v>
      </c>
      <c r="E3822" t="str">
        <f t="shared" si="513"/>
        <v>담화공</v>
      </c>
      <c r="H3822" t="str">
        <f t="shared" si="512"/>
        <v>스토리위즈</v>
      </c>
      <c r="I3822" t="str">
        <f t="shared" si="514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>
        <v>70</v>
      </c>
      <c r="AT3822" t="str">
        <f t="shared" si="515"/>
        <v>9791137602663</v>
      </c>
      <c r="AV3822" t="str">
        <f t="shared" si="516"/>
        <v>판타지 웹소설 &gt; 퓨전 판타지</v>
      </c>
    </row>
    <row r="3823" spans="1:48" x14ac:dyDescent="0.4">
      <c r="A3823">
        <v>2313012849</v>
      </c>
      <c r="B3823">
        <v>2313013985</v>
      </c>
      <c r="C3823" t="str">
        <f>T("디버프 마스터 1137화")</f>
        <v>디버프 마스터 1137화</v>
      </c>
      <c r="D3823" t="str">
        <f>T("1137")</f>
        <v>1137</v>
      </c>
      <c r="E3823" t="str">
        <f t="shared" si="513"/>
        <v>담화공</v>
      </c>
      <c r="H3823" t="str">
        <f t="shared" si="512"/>
        <v>스토리위즈</v>
      </c>
      <c r="I3823" t="str">
        <f t="shared" si="514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>
        <v>70</v>
      </c>
      <c r="AT3823" t="str">
        <f t="shared" si="515"/>
        <v>9791137602663</v>
      </c>
      <c r="AV3823" t="str">
        <f t="shared" si="516"/>
        <v>판타지 웹소설 &gt; 퓨전 판타지</v>
      </c>
    </row>
    <row r="3824" spans="1:48" x14ac:dyDescent="0.4">
      <c r="A3824">
        <v>2313012849</v>
      </c>
      <c r="B3824">
        <v>2313013986</v>
      </c>
      <c r="C3824" t="str">
        <f>T("디버프 마스터 1138화")</f>
        <v>디버프 마스터 1138화</v>
      </c>
      <c r="D3824" t="str">
        <f>T("1138")</f>
        <v>1138</v>
      </c>
      <c r="E3824" t="str">
        <f t="shared" si="513"/>
        <v>담화공</v>
      </c>
      <c r="H3824" t="str">
        <f t="shared" si="512"/>
        <v>스토리위즈</v>
      </c>
      <c r="I3824" t="str">
        <f t="shared" si="514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>
        <v>70</v>
      </c>
      <c r="AT3824" t="str">
        <f t="shared" si="515"/>
        <v>9791137602663</v>
      </c>
      <c r="AV3824" t="str">
        <f t="shared" si="516"/>
        <v>판타지 웹소설 &gt; 퓨전 판타지</v>
      </c>
    </row>
    <row r="3825" spans="1:48" x14ac:dyDescent="0.4">
      <c r="A3825">
        <v>2313012849</v>
      </c>
      <c r="B3825">
        <v>2313013987</v>
      </c>
      <c r="C3825" t="str">
        <f>T("디버프 마스터 1139화")</f>
        <v>디버프 마스터 1139화</v>
      </c>
      <c r="D3825" t="str">
        <f>T("1139")</f>
        <v>1139</v>
      </c>
      <c r="E3825" t="str">
        <f t="shared" si="513"/>
        <v>담화공</v>
      </c>
      <c r="H3825" t="str">
        <f t="shared" si="512"/>
        <v>스토리위즈</v>
      </c>
      <c r="I3825" t="str">
        <f t="shared" si="514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>
        <v>70</v>
      </c>
      <c r="AT3825" t="str">
        <f t="shared" si="515"/>
        <v>9791137602663</v>
      </c>
      <c r="AV3825" t="str">
        <f t="shared" si="516"/>
        <v>판타지 웹소설 &gt; 퓨전 판타지</v>
      </c>
    </row>
    <row r="3826" spans="1:48" x14ac:dyDescent="0.4">
      <c r="A3826">
        <v>2313012849</v>
      </c>
      <c r="B3826">
        <v>2313013988</v>
      </c>
      <c r="C3826" t="str">
        <f>T("디버프 마스터 1140화")</f>
        <v>디버프 마스터 1140화</v>
      </c>
      <c r="D3826" t="str">
        <f>T("1140")</f>
        <v>1140</v>
      </c>
      <c r="E3826" t="str">
        <f t="shared" si="513"/>
        <v>담화공</v>
      </c>
      <c r="H3826" t="str">
        <f t="shared" si="512"/>
        <v>스토리위즈</v>
      </c>
      <c r="I3826" t="str">
        <f t="shared" si="514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>
        <v>70</v>
      </c>
      <c r="AT3826" t="str">
        <f t="shared" si="515"/>
        <v>9791137602663</v>
      </c>
      <c r="AV3826" t="str">
        <f t="shared" si="516"/>
        <v>판타지 웹소설 &gt; 퓨전 판타지</v>
      </c>
    </row>
    <row r="3827" spans="1:48" x14ac:dyDescent="0.4">
      <c r="A3827">
        <v>2313012849</v>
      </c>
      <c r="B3827">
        <v>2313013989</v>
      </c>
      <c r="C3827" t="str">
        <f>T("디버프 마스터 1141화")</f>
        <v>디버프 마스터 1141화</v>
      </c>
      <c r="D3827" t="str">
        <f>T("1141")</f>
        <v>1141</v>
      </c>
      <c r="E3827" t="str">
        <f t="shared" si="513"/>
        <v>담화공</v>
      </c>
      <c r="H3827" t="str">
        <f t="shared" si="512"/>
        <v>스토리위즈</v>
      </c>
      <c r="I3827" t="str">
        <f t="shared" si="514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>
        <v>70</v>
      </c>
      <c r="AT3827" t="str">
        <f t="shared" si="515"/>
        <v>9791137602663</v>
      </c>
      <c r="AV3827" t="str">
        <f t="shared" si="516"/>
        <v>판타지 웹소설 &gt; 퓨전 판타지</v>
      </c>
    </row>
    <row r="3828" spans="1:48" x14ac:dyDescent="0.4">
      <c r="A3828">
        <v>2313012849</v>
      </c>
      <c r="B3828">
        <v>2313013990</v>
      </c>
      <c r="C3828" t="str">
        <f>T("디버프 마스터 1142화")</f>
        <v>디버프 마스터 1142화</v>
      </c>
      <c r="D3828" t="str">
        <f>T("1142")</f>
        <v>1142</v>
      </c>
      <c r="E3828" t="str">
        <f t="shared" si="513"/>
        <v>담화공</v>
      </c>
      <c r="H3828" t="str">
        <f t="shared" si="512"/>
        <v>스토리위즈</v>
      </c>
      <c r="I3828" t="str">
        <f t="shared" si="514"/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>
        <v>70</v>
      </c>
      <c r="AT3828" t="str">
        <f t="shared" si="515"/>
        <v>9791137602663</v>
      </c>
      <c r="AV3828" t="str">
        <f t="shared" si="516"/>
        <v>판타지 웹소설 &gt; 퓨전 판타지</v>
      </c>
    </row>
    <row r="3829" spans="1:48" x14ac:dyDescent="0.4">
      <c r="A3829">
        <v>2313012849</v>
      </c>
      <c r="B3829">
        <v>2313013991</v>
      </c>
      <c r="C3829" t="str">
        <f>T("디버프 마스터 1143화")</f>
        <v>디버프 마스터 1143화</v>
      </c>
      <c r="D3829" t="str">
        <f>T("1143")</f>
        <v>1143</v>
      </c>
      <c r="E3829" t="str">
        <f t="shared" si="513"/>
        <v>담화공</v>
      </c>
      <c r="H3829" t="str">
        <f t="shared" si="512"/>
        <v>스토리위즈</v>
      </c>
      <c r="I3829" t="str">
        <f t="shared" si="514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>
        <v>70</v>
      </c>
      <c r="AT3829" t="str">
        <f t="shared" si="515"/>
        <v>9791137602663</v>
      </c>
      <c r="AV3829" t="str">
        <f t="shared" si="516"/>
        <v>판타지 웹소설 &gt; 퓨전 판타지</v>
      </c>
    </row>
    <row r="3830" spans="1:48" x14ac:dyDescent="0.4">
      <c r="A3830">
        <v>2313012849</v>
      </c>
      <c r="B3830">
        <v>2313013992</v>
      </c>
      <c r="C3830" t="str">
        <f>T("디버프 마스터 1144화")</f>
        <v>디버프 마스터 1144화</v>
      </c>
      <c r="D3830" t="str">
        <f>T("1144")</f>
        <v>1144</v>
      </c>
      <c r="E3830" t="str">
        <f t="shared" si="513"/>
        <v>담화공</v>
      </c>
      <c r="H3830" t="str">
        <f t="shared" si="512"/>
        <v>스토리위즈</v>
      </c>
      <c r="I3830" t="str">
        <f t="shared" si="514"/>
        <v>디버프 마스터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>
        <v>70</v>
      </c>
      <c r="AT3830" t="str">
        <f t="shared" si="515"/>
        <v>9791137602663</v>
      </c>
      <c r="AV3830" t="str">
        <f t="shared" si="516"/>
        <v>판타지 웹소설 &gt; 퓨전 판타지</v>
      </c>
    </row>
    <row r="3831" spans="1:48" x14ac:dyDescent="0.4">
      <c r="A3831">
        <v>2313012849</v>
      </c>
      <c r="B3831">
        <v>2313013993</v>
      </c>
      <c r="C3831" t="str">
        <f>T("디버프 마스터 1145화")</f>
        <v>디버프 마스터 1145화</v>
      </c>
      <c r="D3831" t="str">
        <f>T("1145")</f>
        <v>1145</v>
      </c>
      <c r="E3831" t="str">
        <f t="shared" si="513"/>
        <v>담화공</v>
      </c>
      <c r="H3831" t="str">
        <f t="shared" si="512"/>
        <v>스토리위즈</v>
      </c>
      <c r="I3831" t="str">
        <f t="shared" si="514"/>
        <v>디버프 마스터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>
        <v>70</v>
      </c>
      <c r="AT3831" t="str">
        <f t="shared" si="515"/>
        <v>9791137602663</v>
      </c>
      <c r="AV3831" t="str">
        <f t="shared" si="516"/>
        <v>판타지 웹소설 &gt; 퓨전 판타지</v>
      </c>
    </row>
    <row r="3832" spans="1:48" x14ac:dyDescent="0.4">
      <c r="A3832">
        <v>2313012849</v>
      </c>
      <c r="B3832">
        <v>2313013994</v>
      </c>
      <c r="C3832" t="str">
        <f>T("디버프 마스터 1146화")</f>
        <v>디버프 마스터 1146화</v>
      </c>
      <c r="D3832" t="str">
        <f>T("1146")</f>
        <v>1146</v>
      </c>
      <c r="E3832" t="str">
        <f t="shared" si="513"/>
        <v>담화공</v>
      </c>
      <c r="H3832" t="str">
        <f t="shared" si="512"/>
        <v>스토리위즈</v>
      </c>
      <c r="I3832" t="str">
        <f t="shared" si="514"/>
        <v>디버프 마스터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>
        <v>70</v>
      </c>
      <c r="AT3832" t="str">
        <f t="shared" si="515"/>
        <v>9791137602663</v>
      </c>
      <c r="AV3832" t="str">
        <f t="shared" si="516"/>
        <v>판타지 웹소설 &gt; 퓨전 판타지</v>
      </c>
    </row>
    <row r="3833" spans="1:48" x14ac:dyDescent="0.4">
      <c r="A3833">
        <v>2313012849</v>
      </c>
      <c r="B3833">
        <v>2313013995</v>
      </c>
      <c r="C3833" t="str">
        <f>T("디버프 마스터 1147화")</f>
        <v>디버프 마스터 1147화</v>
      </c>
      <c r="D3833" t="str">
        <f>T("1147")</f>
        <v>1147</v>
      </c>
      <c r="E3833" t="str">
        <f t="shared" si="513"/>
        <v>담화공</v>
      </c>
      <c r="H3833" t="str">
        <f t="shared" ref="H3833:H3896" si="517">T("스토리위즈")</f>
        <v>스토리위즈</v>
      </c>
      <c r="I3833" t="str">
        <f t="shared" si="514"/>
        <v>디버프 마스터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>
        <v>70</v>
      </c>
      <c r="AT3833" t="str">
        <f t="shared" si="515"/>
        <v>9791137602663</v>
      </c>
      <c r="AV3833" t="str">
        <f t="shared" si="516"/>
        <v>판타지 웹소설 &gt; 퓨전 판타지</v>
      </c>
    </row>
    <row r="3834" spans="1:48" x14ac:dyDescent="0.4">
      <c r="A3834">
        <v>2313012849</v>
      </c>
      <c r="B3834">
        <v>2313013996</v>
      </c>
      <c r="C3834" t="str">
        <f>T("디버프 마스터 1148화")</f>
        <v>디버프 마스터 1148화</v>
      </c>
      <c r="D3834" t="str">
        <f>T("1148")</f>
        <v>1148</v>
      </c>
      <c r="E3834" t="str">
        <f t="shared" si="513"/>
        <v>담화공</v>
      </c>
      <c r="H3834" t="str">
        <f t="shared" si="517"/>
        <v>스토리위즈</v>
      </c>
      <c r="I3834" t="str">
        <f t="shared" si="514"/>
        <v>디버프 마스터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>
        <v>70</v>
      </c>
      <c r="AT3834" t="str">
        <f t="shared" si="515"/>
        <v>9791137602663</v>
      </c>
      <c r="AV3834" t="str">
        <f t="shared" si="516"/>
        <v>판타지 웹소설 &gt; 퓨전 판타지</v>
      </c>
    </row>
    <row r="3835" spans="1:48" x14ac:dyDescent="0.4">
      <c r="A3835">
        <v>2313012849</v>
      </c>
      <c r="B3835">
        <v>2313013997</v>
      </c>
      <c r="C3835" t="str">
        <f>T("디버프 마스터 1149화")</f>
        <v>디버프 마스터 1149화</v>
      </c>
      <c r="D3835" t="str">
        <f>T("1149")</f>
        <v>1149</v>
      </c>
      <c r="E3835" t="str">
        <f t="shared" si="513"/>
        <v>담화공</v>
      </c>
      <c r="H3835" t="str">
        <f t="shared" si="517"/>
        <v>스토리위즈</v>
      </c>
      <c r="I3835" t="str">
        <f t="shared" si="514"/>
        <v>디버프 마스터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>
        <v>70</v>
      </c>
      <c r="AT3835" t="str">
        <f t="shared" si="515"/>
        <v>9791137602663</v>
      </c>
      <c r="AV3835" t="str">
        <f t="shared" si="516"/>
        <v>판타지 웹소설 &gt; 퓨전 판타지</v>
      </c>
    </row>
    <row r="3836" spans="1:48" x14ac:dyDescent="0.4">
      <c r="A3836">
        <v>2313012849</v>
      </c>
      <c r="B3836">
        <v>2313013998</v>
      </c>
      <c r="C3836" t="str">
        <f>T("디버프 마스터 1150화")</f>
        <v>디버프 마스터 1150화</v>
      </c>
      <c r="D3836" t="str">
        <f>T("1150")</f>
        <v>1150</v>
      </c>
      <c r="E3836" t="str">
        <f t="shared" si="513"/>
        <v>담화공</v>
      </c>
      <c r="H3836" t="str">
        <f t="shared" si="517"/>
        <v>스토리위즈</v>
      </c>
      <c r="I3836" t="str">
        <f t="shared" si="514"/>
        <v>디버프 마스터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>
        <v>70</v>
      </c>
      <c r="AT3836" t="str">
        <f t="shared" si="515"/>
        <v>9791137602663</v>
      </c>
      <c r="AV3836" t="str">
        <f t="shared" si="516"/>
        <v>판타지 웹소설 &gt; 퓨전 판타지</v>
      </c>
    </row>
    <row r="3837" spans="1:48" x14ac:dyDescent="0.4">
      <c r="A3837">
        <v>2313012849</v>
      </c>
      <c r="B3837">
        <v>2313013999</v>
      </c>
      <c r="C3837" t="str">
        <f>T("디버프 마스터 1151화")</f>
        <v>디버프 마스터 1151화</v>
      </c>
      <c r="D3837" t="str">
        <f>T("1151")</f>
        <v>1151</v>
      </c>
      <c r="E3837" t="str">
        <f t="shared" si="513"/>
        <v>담화공</v>
      </c>
      <c r="H3837" t="str">
        <f t="shared" si="517"/>
        <v>스토리위즈</v>
      </c>
      <c r="I3837" t="str">
        <f t="shared" si="514"/>
        <v>디버프 마스터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>
        <v>70</v>
      </c>
      <c r="AT3837" t="str">
        <f t="shared" si="515"/>
        <v>9791137602663</v>
      </c>
      <c r="AV3837" t="str">
        <f t="shared" si="516"/>
        <v>판타지 웹소설 &gt; 퓨전 판타지</v>
      </c>
    </row>
    <row r="3838" spans="1:48" x14ac:dyDescent="0.4">
      <c r="A3838">
        <v>2313012849</v>
      </c>
      <c r="B3838">
        <v>2313014000</v>
      </c>
      <c r="C3838" t="str">
        <f>T("디버프 마스터 1152화")</f>
        <v>디버프 마스터 1152화</v>
      </c>
      <c r="D3838" t="str">
        <f>T("1152")</f>
        <v>1152</v>
      </c>
      <c r="E3838" t="str">
        <f t="shared" si="513"/>
        <v>담화공</v>
      </c>
      <c r="H3838" t="str">
        <f t="shared" si="517"/>
        <v>스토리위즈</v>
      </c>
      <c r="I3838" t="str">
        <f t="shared" si="514"/>
        <v>디버프 마스터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>
        <v>70</v>
      </c>
      <c r="AT3838" t="str">
        <f t="shared" si="515"/>
        <v>9791137602663</v>
      </c>
      <c r="AV3838" t="str">
        <f t="shared" si="516"/>
        <v>판타지 웹소설 &gt; 퓨전 판타지</v>
      </c>
    </row>
    <row r="3839" spans="1:48" x14ac:dyDescent="0.4">
      <c r="A3839">
        <v>2313012849</v>
      </c>
      <c r="B3839">
        <v>2313014001</v>
      </c>
      <c r="C3839" t="str">
        <f>T("디버프 마스터 1153화")</f>
        <v>디버프 마스터 1153화</v>
      </c>
      <c r="D3839" t="str">
        <f>T("1153")</f>
        <v>1153</v>
      </c>
      <c r="E3839" t="str">
        <f t="shared" si="513"/>
        <v>담화공</v>
      </c>
      <c r="H3839" t="str">
        <f t="shared" si="517"/>
        <v>스토리위즈</v>
      </c>
      <c r="I3839" t="str">
        <f t="shared" si="514"/>
        <v>디버프 마스터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>
        <v>70</v>
      </c>
      <c r="AT3839" t="str">
        <f t="shared" si="515"/>
        <v>9791137602663</v>
      </c>
      <c r="AV3839" t="str">
        <f t="shared" si="516"/>
        <v>판타지 웹소설 &gt; 퓨전 판타지</v>
      </c>
    </row>
    <row r="3840" spans="1:48" x14ac:dyDescent="0.4">
      <c r="A3840">
        <v>2313012849</v>
      </c>
      <c r="B3840">
        <v>2313014002</v>
      </c>
      <c r="C3840" t="str">
        <f>T("디버프 마스터 1154화")</f>
        <v>디버프 마스터 1154화</v>
      </c>
      <c r="D3840" t="str">
        <f>T("1154")</f>
        <v>1154</v>
      </c>
      <c r="E3840" t="str">
        <f t="shared" si="513"/>
        <v>담화공</v>
      </c>
      <c r="H3840" t="str">
        <f t="shared" si="517"/>
        <v>스토리위즈</v>
      </c>
      <c r="I3840" t="str">
        <f t="shared" si="514"/>
        <v>디버프 마스터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>
        <v>70</v>
      </c>
      <c r="AT3840" t="str">
        <f t="shared" si="515"/>
        <v>9791137602663</v>
      </c>
      <c r="AV3840" t="str">
        <f t="shared" si="516"/>
        <v>판타지 웹소설 &gt; 퓨전 판타지</v>
      </c>
    </row>
    <row r="3841" spans="1:48" x14ac:dyDescent="0.4">
      <c r="A3841">
        <v>2313012849</v>
      </c>
      <c r="B3841">
        <v>2313014003</v>
      </c>
      <c r="C3841" t="str">
        <f>T("디버프 마스터 1155화")</f>
        <v>디버프 마스터 1155화</v>
      </c>
      <c r="D3841" t="str">
        <f>T("1155")</f>
        <v>1155</v>
      </c>
      <c r="E3841" t="str">
        <f t="shared" si="513"/>
        <v>담화공</v>
      </c>
      <c r="H3841" t="str">
        <f t="shared" si="517"/>
        <v>스토리위즈</v>
      </c>
      <c r="I3841" t="str">
        <f t="shared" si="514"/>
        <v>디버프 마스터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>
        <v>70</v>
      </c>
      <c r="AT3841" t="str">
        <f t="shared" si="515"/>
        <v>9791137602663</v>
      </c>
      <c r="AV3841" t="str">
        <f t="shared" si="516"/>
        <v>판타지 웹소설 &gt; 퓨전 판타지</v>
      </c>
    </row>
    <row r="3842" spans="1:48" x14ac:dyDescent="0.4">
      <c r="A3842">
        <v>2313012849</v>
      </c>
      <c r="B3842">
        <v>2313014004</v>
      </c>
      <c r="C3842" t="str">
        <f>T("디버프 마스터 1156화")</f>
        <v>디버프 마스터 1156화</v>
      </c>
      <c r="D3842" t="str">
        <f>T("1156")</f>
        <v>1156</v>
      </c>
      <c r="E3842" t="str">
        <f t="shared" si="513"/>
        <v>담화공</v>
      </c>
      <c r="H3842" t="str">
        <f t="shared" si="517"/>
        <v>스토리위즈</v>
      </c>
      <c r="I3842" t="str">
        <f t="shared" si="514"/>
        <v>디버프 마스터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>
        <v>70</v>
      </c>
      <c r="AT3842" t="str">
        <f t="shared" si="515"/>
        <v>9791137602663</v>
      </c>
      <c r="AV3842" t="str">
        <f t="shared" si="516"/>
        <v>판타지 웹소설 &gt; 퓨전 판타지</v>
      </c>
    </row>
    <row r="3843" spans="1:48" x14ac:dyDescent="0.4">
      <c r="A3843">
        <v>2313012849</v>
      </c>
      <c r="B3843">
        <v>2313014005</v>
      </c>
      <c r="C3843" t="str">
        <f>T("디버프 마스터 1157화")</f>
        <v>디버프 마스터 1157화</v>
      </c>
      <c r="D3843" t="str">
        <f>T("1157")</f>
        <v>1157</v>
      </c>
      <c r="E3843" t="str">
        <f t="shared" si="513"/>
        <v>담화공</v>
      </c>
      <c r="H3843" t="str">
        <f t="shared" si="517"/>
        <v>스토리위즈</v>
      </c>
      <c r="I3843" t="str">
        <f t="shared" si="514"/>
        <v>디버프 마스터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>
        <v>70</v>
      </c>
      <c r="AT3843" t="str">
        <f t="shared" si="515"/>
        <v>9791137602663</v>
      </c>
      <c r="AV3843" t="str">
        <f t="shared" si="516"/>
        <v>판타지 웹소설 &gt; 퓨전 판타지</v>
      </c>
    </row>
    <row r="3844" spans="1:48" x14ac:dyDescent="0.4">
      <c r="A3844">
        <v>2313012849</v>
      </c>
      <c r="B3844">
        <v>2313014006</v>
      </c>
      <c r="C3844" t="str">
        <f>T("디버프 마스터 1158화")</f>
        <v>디버프 마스터 1158화</v>
      </c>
      <c r="D3844" t="str">
        <f>T("1158")</f>
        <v>1158</v>
      </c>
      <c r="E3844" t="str">
        <f t="shared" si="513"/>
        <v>담화공</v>
      </c>
      <c r="H3844" t="str">
        <f t="shared" si="517"/>
        <v>스토리위즈</v>
      </c>
      <c r="I3844" t="str">
        <f t="shared" si="514"/>
        <v>디버프 마스터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>
        <v>70</v>
      </c>
      <c r="AT3844" t="str">
        <f t="shared" si="515"/>
        <v>9791137602663</v>
      </c>
      <c r="AV3844" t="str">
        <f t="shared" si="516"/>
        <v>판타지 웹소설 &gt; 퓨전 판타지</v>
      </c>
    </row>
    <row r="3845" spans="1:48" x14ac:dyDescent="0.4">
      <c r="A3845">
        <v>2313012849</v>
      </c>
      <c r="B3845">
        <v>2313014007</v>
      </c>
      <c r="C3845" t="str">
        <f>T("디버프 마스터 1159화")</f>
        <v>디버프 마스터 1159화</v>
      </c>
      <c r="D3845" t="str">
        <f>T("1159")</f>
        <v>1159</v>
      </c>
      <c r="E3845" t="str">
        <f t="shared" si="513"/>
        <v>담화공</v>
      </c>
      <c r="H3845" t="str">
        <f t="shared" si="517"/>
        <v>스토리위즈</v>
      </c>
      <c r="I3845" t="str">
        <f t="shared" si="514"/>
        <v>디버프 마스터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>
        <v>70</v>
      </c>
      <c r="AT3845" t="str">
        <f t="shared" si="515"/>
        <v>9791137602663</v>
      </c>
      <c r="AV3845" t="str">
        <f t="shared" si="516"/>
        <v>판타지 웹소설 &gt; 퓨전 판타지</v>
      </c>
    </row>
    <row r="3846" spans="1:48" x14ac:dyDescent="0.4">
      <c r="A3846">
        <v>2313012849</v>
      </c>
      <c r="B3846">
        <v>2313014008</v>
      </c>
      <c r="C3846" t="str">
        <f>T("디버프 마스터 1160화")</f>
        <v>디버프 마스터 1160화</v>
      </c>
      <c r="D3846" t="str">
        <f>T("1160")</f>
        <v>1160</v>
      </c>
      <c r="E3846" t="str">
        <f t="shared" si="513"/>
        <v>담화공</v>
      </c>
      <c r="H3846" t="str">
        <f t="shared" si="517"/>
        <v>스토리위즈</v>
      </c>
      <c r="I3846" t="str">
        <f t="shared" si="514"/>
        <v>디버프 마스터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>
        <v>70</v>
      </c>
      <c r="AT3846" t="str">
        <f t="shared" si="515"/>
        <v>9791137602663</v>
      </c>
      <c r="AV3846" t="str">
        <f t="shared" si="516"/>
        <v>판타지 웹소설 &gt; 퓨전 판타지</v>
      </c>
    </row>
    <row r="3847" spans="1:48" x14ac:dyDescent="0.4">
      <c r="A3847">
        <v>2313012849</v>
      </c>
      <c r="B3847">
        <v>2313014009</v>
      </c>
      <c r="C3847" t="str">
        <f>T("디버프 마스터 1161화")</f>
        <v>디버프 마스터 1161화</v>
      </c>
      <c r="D3847" t="str">
        <f>T("1161")</f>
        <v>1161</v>
      </c>
      <c r="E3847" t="str">
        <f t="shared" si="513"/>
        <v>담화공</v>
      </c>
      <c r="H3847" t="str">
        <f t="shared" si="517"/>
        <v>스토리위즈</v>
      </c>
      <c r="I3847" t="str">
        <f t="shared" si="514"/>
        <v>디버프 마스터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>
        <v>70</v>
      </c>
      <c r="AT3847" t="str">
        <f t="shared" si="515"/>
        <v>9791137602663</v>
      </c>
      <c r="AV3847" t="str">
        <f t="shared" si="516"/>
        <v>판타지 웹소설 &gt; 퓨전 판타지</v>
      </c>
    </row>
    <row r="3848" spans="1:48" x14ac:dyDescent="0.4">
      <c r="A3848">
        <v>2313012849</v>
      </c>
      <c r="B3848">
        <v>2313014010</v>
      </c>
      <c r="C3848" t="str">
        <f>T("디버프 마스터 1162화")</f>
        <v>디버프 마스터 1162화</v>
      </c>
      <c r="D3848" t="str">
        <f>T("1162")</f>
        <v>1162</v>
      </c>
      <c r="E3848" t="str">
        <f t="shared" ref="E3848:E3911" si="518">T("담화공")</f>
        <v>담화공</v>
      </c>
      <c r="H3848" t="str">
        <f t="shared" si="517"/>
        <v>스토리위즈</v>
      </c>
      <c r="I3848" t="str">
        <f t="shared" ref="I3848:I3911" si="519">T("디버프 마스터")</f>
        <v>디버프 마스터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>
        <v>70</v>
      </c>
      <c r="AT3848" t="str">
        <f t="shared" ref="AT3848:AT3911" si="520">T("9791137602663")</f>
        <v>9791137602663</v>
      </c>
      <c r="AV3848" t="str">
        <f t="shared" ref="AV3848:AV3911" si="521">T("판타지 웹소설 &gt; 퓨전 판타지")</f>
        <v>판타지 웹소설 &gt; 퓨전 판타지</v>
      </c>
    </row>
    <row r="3849" spans="1:48" x14ac:dyDescent="0.4">
      <c r="A3849">
        <v>2313012849</v>
      </c>
      <c r="B3849">
        <v>2313014011</v>
      </c>
      <c r="C3849" t="str">
        <f>T("디버프 마스터 1163화")</f>
        <v>디버프 마스터 1163화</v>
      </c>
      <c r="D3849" t="str">
        <f>T("1163")</f>
        <v>1163</v>
      </c>
      <c r="E3849" t="str">
        <f t="shared" si="518"/>
        <v>담화공</v>
      </c>
      <c r="H3849" t="str">
        <f t="shared" si="517"/>
        <v>스토리위즈</v>
      </c>
      <c r="I3849" t="str">
        <f t="shared" si="519"/>
        <v>디버프 마스터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>
        <v>70</v>
      </c>
      <c r="AT3849" t="str">
        <f t="shared" si="520"/>
        <v>9791137602663</v>
      </c>
      <c r="AV3849" t="str">
        <f t="shared" si="521"/>
        <v>판타지 웹소설 &gt; 퓨전 판타지</v>
      </c>
    </row>
    <row r="3850" spans="1:48" x14ac:dyDescent="0.4">
      <c r="A3850">
        <v>2313012849</v>
      </c>
      <c r="B3850">
        <v>2313014012</v>
      </c>
      <c r="C3850" t="str">
        <f>T("디버프 마스터 1164화")</f>
        <v>디버프 마스터 1164화</v>
      </c>
      <c r="D3850" t="str">
        <f>T("1164")</f>
        <v>1164</v>
      </c>
      <c r="E3850" t="str">
        <f t="shared" si="518"/>
        <v>담화공</v>
      </c>
      <c r="H3850" t="str">
        <f t="shared" si="517"/>
        <v>스토리위즈</v>
      </c>
      <c r="I3850" t="str">
        <f t="shared" si="519"/>
        <v>디버프 마스터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>
        <v>70</v>
      </c>
      <c r="AT3850" t="str">
        <f t="shared" si="520"/>
        <v>9791137602663</v>
      </c>
      <c r="AV3850" t="str">
        <f t="shared" si="521"/>
        <v>판타지 웹소설 &gt; 퓨전 판타지</v>
      </c>
    </row>
    <row r="3851" spans="1:48" x14ac:dyDescent="0.4">
      <c r="A3851">
        <v>2313012849</v>
      </c>
      <c r="B3851">
        <v>2313014013</v>
      </c>
      <c r="C3851" t="str">
        <f>T("디버프 마스터 1165화")</f>
        <v>디버프 마스터 1165화</v>
      </c>
      <c r="D3851" t="str">
        <f>T("1165")</f>
        <v>1165</v>
      </c>
      <c r="E3851" t="str">
        <f t="shared" si="518"/>
        <v>담화공</v>
      </c>
      <c r="H3851" t="str">
        <f t="shared" si="517"/>
        <v>스토리위즈</v>
      </c>
      <c r="I3851" t="str">
        <f t="shared" si="519"/>
        <v>디버프 마스터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>
        <v>70</v>
      </c>
      <c r="AT3851" t="str">
        <f t="shared" si="520"/>
        <v>9791137602663</v>
      </c>
      <c r="AV3851" t="str">
        <f t="shared" si="521"/>
        <v>판타지 웹소설 &gt; 퓨전 판타지</v>
      </c>
    </row>
    <row r="3852" spans="1:48" x14ac:dyDescent="0.4">
      <c r="A3852">
        <v>2313012849</v>
      </c>
      <c r="B3852">
        <v>2313014014</v>
      </c>
      <c r="C3852" t="str">
        <f>T("디버프 마스터 1166화")</f>
        <v>디버프 마스터 1166화</v>
      </c>
      <c r="D3852" t="str">
        <f>T("1166")</f>
        <v>1166</v>
      </c>
      <c r="E3852" t="str">
        <f t="shared" si="518"/>
        <v>담화공</v>
      </c>
      <c r="H3852" t="str">
        <f t="shared" si="517"/>
        <v>스토리위즈</v>
      </c>
      <c r="I3852" t="str">
        <f t="shared" si="519"/>
        <v>디버프 마스터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>
        <v>70</v>
      </c>
      <c r="AT3852" t="str">
        <f t="shared" si="520"/>
        <v>9791137602663</v>
      </c>
      <c r="AV3852" t="str">
        <f t="shared" si="521"/>
        <v>판타지 웹소설 &gt; 퓨전 판타지</v>
      </c>
    </row>
    <row r="3853" spans="1:48" x14ac:dyDescent="0.4">
      <c r="A3853">
        <v>2313012849</v>
      </c>
      <c r="B3853">
        <v>2313014015</v>
      </c>
      <c r="C3853" t="str">
        <f>T("디버프 마스터 1167화")</f>
        <v>디버프 마스터 1167화</v>
      </c>
      <c r="D3853" t="str">
        <f>T("1167")</f>
        <v>1167</v>
      </c>
      <c r="E3853" t="str">
        <f t="shared" si="518"/>
        <v>담화공</v>
      </c>
      <c r="H3853" t="str">
        <f t="shared" si="517"/>
        <v>스토리위즈</v>
      </c>
      <c r="I3853" t="str">
        <f t="shared" si="519"/>
        <v>디버프 마스터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>
        <v>70</v>
      </c>
      <c r="AT3853" t="str">
        <f t="shared" si="520"/>
        <v>9791137602663</v>
      </c>
      <c r="AV3853" t="str">
        <f t="shared" si="521"/>
        <v>판타지 웹소설 &gt; 퓨전 판타지</v>
      </c>
    </row>
    <row r="3854" spans="1:48" x14ac:dyDescent="0.4">
      <c r="A3854">
        <v>2313012849</v>
      </c>
      <c r="B3854">
        <v>2313014016</v>
      </c>
      <c r="C3854" t="str">
        <f>T("디버프 마스터 1168화")</f>
        <v>디버프 마스터 1168화</v>
      </c>
      <c r="D3854" t="str">
        <f>T("1168")</f>
        <v>1168</v>
      </c>
      <c r="E3854" t="str">
        <f t="shared" si="518"/>
        <v>담화공</v>
      </c>
      <c r="H3854" t="str">
        <f t="shared" si="517"/>
        <v>스토리위즈</v>
      </c>
      <c r="I3854" t="str">
        <f t="shared" si="519"/>
        <v>디버프 마스터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>
        <v>70</v>
      </c>
      <c r="AT3854" t="str">
        <f t="shared" si="520"/>
        <v>9791137602663</v>
      </c>
      <c r="AV3854" t="str">
        <f t="shared" si="521"/>
        <v>판타지 웹소설 &gt; 퓨전 판타지</v>
      </c>
    </row>
    <row r="3855" spans="1:48" x14ac:dyDescent="0.4">
      <c r="A3855">
        <v>2313012849</v>
      </c>
      <c r="B3855">
        <v>2313014017</v>
      </c>
      <c r="C3855" t="str">
        <f>T("디버프 마스터 1169화")</f>
        <v>디버프 마스터 1169화</v>
      </c>
      <c r="D3855" t="str">
        <f>T("1169")</f>
        <v>1169</v>
      </c>
      <c r="E3855" t="str">
        <f t="shared" si="518"/>
        <v>담화공</v>
      </c>
      <c r="H3855" t="str">
        <f t="shared" si="517"/>
        <v>스토리위즈</v>
      </c>
      <c r="I3855" t="str">
        <f t="shared" si="519"/>
        <v>디버프 마스터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>
        <v>70</v>
      </c>
      <c r="AT3855" t="str">
        <f t="shared" si="520"/>
        <v>9791137602663</v>
      </c>
      <c r="AV3855" t="str">
        <f t="shared" si="521"/>
        <v>판타지 웹소설 &gt; 퓨전 판타지</v>
      </c>
    </row>
    <row r="3856" spans="1:48" x14ac:dyDescent="0.4">
      <c r="A3856">
        <v>2313012849</v>
      </c>
      <c r="B3856">
        <v>2313014018</v>
      </c>
      <c r="C3856" t="str">
        <f>T("디버프 마스터 1170화")</f>
        <v>디버프 마스터 1170화</v>
      </c>
      <c r="D3856" t="str">
        <f>T("1170")</f>
        <v>1170</v>
      </c>
      <c r="E3856" t="str">
        <f t="shared" si="518"/>
        <v>담화공</v>
      </c>
      <c r="H3856" t="str">
        <f t="shared" si="517"/>
        <v>스토리위즈</v>
      </c>
      <c r="I3856" t="str">
        <f t="shared" si="519"/>
        <v>디버프 마스터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>
        <v>70</v>
      </c>
      <c r="AT3856" t="str">
        <f t="shared" si="520"/>
        <v>9791137602663</v>
      </c>
      <c r="AV3856" t="str">
        <f t="shared" si="521"/>
        <v>판타지 웹소설 &gt; 퓨전 판타지</v>
      </c>
    </row>
    <row r="3857" spans="1:48" x14ac:dyDescent="0.4">
      <c r="A3857">
        <v>2313012849</v>
      </c>
      <c r="B3857">
        <v>2313014019</v>
      </c>
      <c r="C3857" t="str">
        <f>T("디버프 마스터 1171화")</f>
        <v>디버프 마스터 1171화</v>
      </c>
      <c r="D3857" t="str">
        <f>T("1171")</f>
        <v>1171</v>
      </c>
      <c r="E3857" t="str">
        <f t="shared" si="518"/>
        <v>담화공</v>
      </c>
      <c r="H3857" t="str">
        <f t="shared" si="517"/>
        <v>스토리위즈</v>
      </c>
      <c r="I3857" t="str">
        <f t="shared" si="519"/>
        <v>디버프 마스터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>
        <v>70</v>
      </c>
      <c r="AT3857" t="str">
        <f t="shared" si="520"/>
        <v>9791137602663</v>
      </c>
      <c r="AV3857" t="str">
        <f t="shared" si="521"/>
        <v>판타지 웹소설 &gt; 퓨전 판타지</v>
      </c>
    </row>
    <row r="3858" spans="1:48" x14ac:dyDescent="0.4">
      <c r="A3858">
        <v>2313012849</v>
      </c>
      <c r="B3858">
        <v>2313014020</v>
      </c>
      <c r="C3858" t="str">
        <f>T("디버프 마스터 1172화")</f>
        <v>디버프 마스터 1172화</v>
      </c>
      <c r="D3858" t="str">
        <f>T("1172")</f>
        <v>1172</v>
      </c>
      <c r="E3858" t="str">
        <f t="shared" si="518"/>
        <v>담화공</v>
      </c>
      <c r="H3858" t="str">
        <f t="shared" si="517"/>
        <v>스토리위즈</v>
      </c>
      <c r="I3858" t="str">
        <f t="shared" si="519"/>
        <v>디버프 마스터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>
        <v>70</v>
      </c>
      <c r="AT3858" t="str">
        <f t="shared" si="520"/>
        <v>9791137602663</v>
      </c>
      <c r="AV3858" t="str">
        <f t="shared" si="521"/>
        <v>판타지 웹소설 &gt; 퓨전 판타지</v>
      </c>
    </row>
    <row r="3859" spans="1:48" x14ac:dyDescent="0.4">
      <c r="A3859">
        <v>2313012849</v>
      </c>
      <c r="B3859">
        <v>2313014021</v>
      </c>
      <c r="C3859" t="str">
        <f>T("디버프 마스터 1173화")</f>
        <v>디버프 마스터 1173화</v>
      </c>
      <c r="D3859" t="str">
        <f>T("1173")</f>
        <v>1173</v>
      </c>
      <c r="E3859" t="str">
        <f t="shared" si="518"/>
        <v>담화공</v>
      </c>
      <c r="H3859" t="str">
        <f t="shared" si="517"/>
        <v>스토리위즈</v>
      </c>
      <c r="I3859" t="str">
        <f t="shared" si="519"/>
        <v>디버프 마스터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>
        <v>70</v>
      </c>
      <c r="AT3859" t="str">
        <f t="shared" si="520"/>
        <v>9791137602663</v>
      </c>
      <c r="AV3859" t="str">
        <f t="shared" si="521"/>
        <v>판타지 웹소설 &gt; 퓨전 판타지</v>
      </c>
    </row>
    <row r="3860" spans="1:48" x14ac:dyDescent="0.4">
      <c r="A3860">
        <v>2313012849</v>
      </c>
      <c r="B3860">
        <v>2313014022</v>
      </c>
      <c r="C3860" t="str">
        <f>T("디버프 마스터 1174화")</f>
        <v>디버프 마스터 1174화</v>
      </c>
      <c r="D3860" t="str">
        <f>T("1174")</f>
        <v>1174</v>
      </c>
      <c r="E3860" t="str">
        <f t="shared" si="518"/>
        <v>담화공</v>
      </c>
      <c r="H3860" t="str">
        <f t="shared" si="517"/>
        <v>스토리위즈</v>
      </c>
      <c r="I3860" t="str">
        <f t="shared" si="519"/>
        <v>디버프 마스터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>
        <v>70</v>
      </c>
      <c r="AT3860" t="str">
        <f t="shared" si="520"/>
        <v>9791137602663</v>
      </c>
      <c r="AV3860" t="str">
        <f t="shared" si="521"/>
        <v>판타지 웹소설 &gt; 퓨전 판타지</v>
      </c>
    </row>
    <row r="3861" spans="1:48" x14ac:dyDescent="0.4">
      <c r="A3861">
        <v>2313012849</v>
      </c>
      <c r="B3861">
        <v>2313014023</v>
      </c>
      <c r="C3861" t="str">
        <f>T("디버프 마스터 1175화")</f>
        <v>디버프 마스터 1175화</v>
      </c>
      <c r="D3861" t="str">
        <f>T("1175")</f>
        <v>1175</v>
      </c>
      <c r="E3861" t="str">
        <f t="shared" si="518"/>
        <v>담화공</v>
      </c>
      <c r="H3861" t="str">
        <f t="shared" si="517"/>
        <v>스토리위즈</v>
      </c>
      <c r="I3861" t="str">
        <f t="shared" si="519"/>
        <v>디버프 마스터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>
        <v>70</v>
      </c>
      <c r="AT3861" t="str">
        <f t="shared" si="520"/>
        <v>9791137602663</v>
      </c>
      <c r="AV3861" t="str">
        <f t="shared" si="521"/>
        <v>판타지 웹소설 &gt; 퓨전 판타지</v>
      </c>
    </row>
    <row r="3862" spans="1:48" x14ac:dyDescent="0.4">
      <c r="A3862">
        <v>2313012849</v>
      </c>
      <c r="B3862">
        <v>2313014024</v>
      </c>
      <c r="C3862" t="str">
        <f>T("디버프 마스터 1176화")</f>
        <v>디버프 마스터 1176화</v>
      </c>
      <c r="D3862" t="str">
        <f>T("1176")</f>
        <v>1176</v>
      </c>
      <c r="E3862" t="str">
        <f t="shared" si="518"/>
        <v>담화공</v>
      </c>
      <c r="H3862" t="str">
        <f t="shared" si="517"/>
        <v>스토리위즈</v>
      </c>
      <c r="I3862" t="str">
        <f t="shared" si="519"/>
        <v>디버프 마스터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>
        <v>70</v>
      </c>
      <c r="AT3862" t="str">
        <f t="shared" si="520"/>
        <v>9791137602663</v>
      </c>
      <c r="AV3862" t="str">
        <f t="shared" si="521"/>
        <v>판타지 웹소설 &gt; 퓨전 판타지</v>
      </c>
    </row>
    <row r="3863" spans="1:48" x14ac:dyDescent="0.4">
      <c r="A3863">
        <v>2313012849</v>
      </c>
      <c r="B3863">
        <v>2313014025</v>
      </c>
      <c r="C3863" t="str">
        <f>T("디버프 마스터 1177화")</f>
        <v>디버프 마스터 1177화</v>
      </c>
      <c r="D3863" t="str">
        <f>T("1177")</f>
        <v>1177</v>
      </c>
      <c r="E3863" t="str">
        <f t="shared" si="518"/>
        <v>담화공</v>
      </c>
      <c r="H3863" t="str">
        <f t="shared" si="517"/>
        <v>스토리위즈</v>
      </c>
      <c r="I3863" t="str">
        <f t="shared" si="519"/>
        <v>디버프 마스터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>
        <v>70</v>
      </c>
      <c r="AT3863" t="str">
        <f t="shared" si="520"/>
        <v>9791137602663</v>
      </c>
      <c r="AV3863" t="str">
        <f t="shared" si="521"/>
        <v>판타지 웹소설 &gt; 퓨전 판타지</v>
      </c>
    </row>
    <row r="3864" spans="1:48" x14ac:dyDescent="0.4">
      <c r="A3864">
        <v>2313012849</v>
      </c>
      <c r="B3864">
        <v>2313014026</v>
      </c>
      <c r="C3864" t="str">
        <f>T("디버프 마스터 1178화")</f>
        <v>디버프 마스터 1178화</v>
      </c>
      <c r="D3864" t="str">
        <f>T("1178")</f>
        <v>1178</v>
      </c>
      <c r="E3864" t="str">
        <f t="shared" si="518"/>
        <v>담화공</v>
      </c>
      <c r="H3864" t="str">
        <f t="shared" si="517"/>
        <v>스토리위즈</v>
      </c>
      <c r="I3864" t="str">
        <f t="shared" si="519"/>
        <v>디버프 마스터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>
        <v>70</v>
      </c>
      <c r="AT3864" t="str">
        <f t="shared" si="520"/>
        <v>9791137602663</v>
      </c>
      <c r="AV3864" t="str">
        <f t="shared" si="521"/>
        <v>판타지 웹소설 &gt; 퓨전 판타지</v>
      </c>
    </row>
    <row r="3865" spans="1:48" x14ac:dyDescent="0.4">
      <c r="A3865">
        <v>2313012849</v>
      </c>
      <c r="B3865">
        <v>2313014027</v>
      </c>
      <c r="C3865" t="str">
        <f>T("디버프 마스터 1179화")</f>
        <v>디버프 마스터 1179화</v>
      </c>
      <c r="D3865" t="str">
        <f>T("1179")</f>
        <v>1179</v>
      </c>
      <c r="E3865" t="str">
        <f t="shared" si="518"/>
        <v>담화공</v>
      </c>
      <c r="H3865" t="str">
        <f t="shared" si="517"/>
        <v>스토리위즈</v>
      </c>
      <c r="I3865" t="str">
        <f t="shared" si="519"/>
        <v>디버프 마스터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>
        <v>70</v>
      </c>
      <c r="AT3865" t="str">
        <f t="shared" si="520"/>
        <v>9791137602663</v>
      </c>
      <c r="AV3865" t="str">
        <f t="shared" si="521"/>
        <v>판타지 웹소설 &gt; 퓨전 판타지</v>
      </c>
    </row>
    <row r="3866" spans="1:48" x14ac:dyDescent="0.4">
      <c r="A3866">
        <v>2313012849</v>
      </c>
      <c r="B3866">
        <v>2313014028</v>
      </c>
      <c r="C3866" t="str">
        <f>T("디버프 마스터 1180화")</f>
        <v>디버프 마스터 1180화</v>
      </c>
      <c r="D3866" t="str">
        <f>T("1180")</f>
        <v>1180</v>
      </c>
      <c r="E3866" t="str">
        <f t="shared" si="518"/>
        <v>담화공</v>
      </c>
      <c r="H3866" t="str">
        <f t="shared" si="517"/>
        <v>스토리위즈</v>
      </c>
      <c r="I3866" t="str">
        <f t="shared" si="519"/>
        <v>디버프 마스터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>
        <v>70</v>
      </c>
      <c r="AT3866" t="str">
        <f t="shared" si="520"/>
        <v>9791137602663</v>
      </c>
      <c r="AV3866" t="str">
        <f t="shared" si="521"/>
        <v>판타지 웹소설 &gt; 퓨전 판타지</v>
      </c>
    </row>
    <row r="3867" spans="1:48" x14ac:dyDescent="0.4">
      <c r="A3867">
        <v>2313012849</v>
      </c>
      <c r="B3867">
        <v>2313014029</v>
      </c>
      <c r="C3867" t="str">
        <f>T("디버프 마스터 1181화")</f>
        <v>디버프 마스터 1181화</v>
      </c>
      <c r="D3867" t="str">
        <f>T("1181")</f>
        <v>1181</v>
      </c>
      <c r="E3867" t="str">
        <f t="shared" si="518"/>
        <v>담화공</v>
      </c>
      <c r="H3867" t="str">
        <f t="shared" si="517"/>
        <v>스토리위즈</v>
      </c>
      <c r="I3867" t="str">
        <f t="shared" si="519"/>
        <v>디버프 마스터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>
        <v>70</v>
      </c>
      <c r="AT3867" t="str">
        <f t="shared" si="520"/>
        <v>9791137602663</v>
      </c>
      <c r="AV3867" t="str">
        <f t="shared" si="521"/>
        <v>판타지 웹소설 &gt; 퓨전 판타지</v>
      </c>
    </row>
    <row r="3868" spans="1:48" x14ac:dyDescent="0.4">
      <c r="A3868">
        <v>2313012849</v>
      </c>
      <c r="B3868">
        <v>2313014030</v>
      </c>
      <c r="C3868" t="str">
        <f>T("디버프 마스터 1182화")</f>
        <v>디버프 마스터 1182화</v>
      </c>
      <c r="D3868" t="str">
        <f>T("1182")</f>
        <v>1182</v>
      </c>
      <c r="E3868" t="str">
        <f t="shared" si="518"/>
        <v>담화공</v>
      </c>
      <c r="H3868" t="str">
        <f t="shared" si="517"/>
        <v>스토리위즈</v>
      </c>
      <c r="I3868" t="str">
        <f t="shared" si="519"/>
        <v>디버프 마스터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>
        <v>70</v>
      </c>
      <c r="AT3868" t="str">
        <f t="shared" si="520"/>
        <v>9791137602663</v>
      </c>
      <c r="AV3868" t="str">
        <f t="shared" si="521"/>
        <v>판타지 웹소설 &gt; 퓨전 판타지</v>
      </c>
    </row>
    <row r="3869" spans="1:48" x14ac:dyDescent="0.4">
      <c r="A3869">
        <v>2313012849</v>
      </c>
      <c r="B3869">
        <v>2313014032</v>
      </c>
      <c r="C3869" t="str">
        <f>T("디버프 마스터 1184화")</f>
        <v>디버프 마스터 1184화</v>
      </c>
      <c r="D3869" t="str">
        <f>T("1184")</f>
        <v>1184</v>
      </c>
      <c r="E3869" t="str">
        <f t="shared" si="518"/>
        <v>담화공</v>
      </c>
      <c r="H3869" t="str">
        <f t="shared" si="517"/>
        <v>스토리위즈</v>
      </c>
      <c r="I3869" t="str">
        <f t="shared" si="519"/>
        <v>디버프 마스터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>
        <v>70</v>
      </c>
      <c r="AT3869" t="str">
        <f t="shared" si="520"/>
        <v>9791137602663</v>
      </c>
      <c r="AV3869" t="str">
        <f t="shared" si="521"/>
        <v>판타지 웹소설 &gt; 퓨전 판타지</v>
      </c>
    </row>
    <row r="3870" spans="1:48" x14ac:dyDescent="0.4">
      <c r="A3870">
        <v>2313012849</v>
      </c>
      <c r="B3870">
        <v>2313014033</v>
      </c>
      <c r="C3870" t="str">
        <f>T("디버프 마스터 1185화")</f>
        <v>디버프 마스터 1185화</v>
      </c>
      <c r="D3870" t="str">
        <f>T("1185")</f>
        <v>1185</v>
      </c>
      <c r="E3870" t="str">
        <f t="shared" si="518"/>
        <v>담화공</v>
      </c>
      <c r="H3870" t="str">
        <f t="shared" si="517"/>
        <v>스토리위즈</v>
      </c>
      <c r="I3870" t="str">
        <f t="shared" si="519"/>
        <v>디버프 마스터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>
        <v>70</v>
      </c>
      <c r="AT3870" t="str">
        <f t="shared" si="520"/>
        <v>9791137602663</v>
      </c>
      <c r="AV3870" t="str">
        <f t="shared" si="521"/>
        <v>판타지 웹소설 &gt; 퓨전 판타지</v>
      </c>
    </row>
    <row r="3871" spans="1:48" x14ac:dyDescent="0.4">
      <c r="A3871">
        <v>2313012849</v>
      </c>
      <c r="B3871">
        <v>2313014034</v>
      </c>
      <c r="C3871" t="str">
        <f>T("디버프 마스터 1186화")</f>
        <v>디버프 마스터 1186화</v>
      </c>
      <c r="D3871" t="str">
        <f>T("1186")</f>
        <v>1186</v>
      </c>
      <c r="E3871" t="str">
        <f t="shared" si="518"/>
        <v>담화공</v>
      </c>
      <c r="H3871" t="str">
        <f t="shared" si="517"/>
        <v>스토리위즈</v>
      </c>
      <c r="I3871" t="str">
        <f t="shared" si="519"/>
        <v>디버프 마스터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>
        <v>70</v>
      </c>
      <c r="AT3871" t="str">
        <f t="shared" si="520"/>
        <v>9791137602663</v>
      </c>
      <c r="AV3871" t="str">
        <f t="shared" si="521"/>
        <v>판타지 웹소설 &gt; 퓨전 판타지</v>
      </c>
    </row>
    <row r="3872" spans="1:48" x14ac:dyDescent="0.4">
      <c r="A3872">
        <v>2313012849</v>
      </c>
      <c r="B3872">
        <v>2313014035</v>
      </c>
      <c r="C3872" t="str">
        <f>T("디버프 마스터 1187화")</f>
        <v>디버프 마스터 1187화</v>
      </c>
      <c r="D3872" t="str">
        <f>T("1187")</f>
        <v>1187</v>
      </c>
      <c r="E3872" t="str">
        <f t="shared" si="518"/>
        <v>담화공</v>
      </c>
      <c r="H3872" t="str">
        <f t="shared" si="517"/>
        <v>스토리위즈</v>
      </c>
      <c r="I3872" t="str">
        <f t="shared" si="519"/>
        <v>디버프 마스터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>
        <v>70</v>
      </c>
      <c r="AT3872" t="str">
        <f t="shared" si="520"/>
        <v>9791137602663</v>
      </c>
      <c r="AV3872" t="str">
        <f t="shared" si="521"/>
        <v>판타지 웹소설 &gt; 퓨전 판타지</v>
      </c>
    </row>
    <row r="3873" spans="1:48" x14ac:dyDescent="0.4">
      <c r="A3873">
        <v>2313012849</v>
      </c>
      <c r="B3873">
        <v>2313014036</v>
      </c>
      <c r="C3873" t="str">
        <f>T("디버프 마스터 1188화")</f>
        <v>디버프 마스터 1188화</v>
      </c>
      <c r="D3873" t="str">
        <f>T("1188")</f>
        <v>1188</v>
      </c>
      <c r="E3873" t="str">
        <f t="shared" si="518"/>
        <v>담화공</v>
      </c>
      <c r="H3873" t="str">
        <f t="shared" si="517"/>
        <v>스토리위즈</v>
      </c>
      <c r="I3873" t="str">
        <f t="shared" si="519"/>
        <v>디버프 마스터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>
        <v>70</v>
      </c>
      <c r="AT3873" t="str">
        <f t="shared" si="520"/>
        <v>9791137602663</v>
      </c>
      <c r="AV3873" t="str">
        <f t="shared" si="521"/>
        <v>판타지 웹소설 &gt; 퓨전 판타지</v>
      </c>
    </row>
    <row r="3874" spans="1:48" x14ac:dyDescent="0.4">
      <c r="A3874">
        <v>2313012849</v>
      </c>
      <c r="B3874">
        <v>2313014037</v>
      </c>
      <c r="C3874" t="str">
        <f>T("디버프 마스터 1189화")</f>
        <v>디버프 마스터 1189화</v>
      </c>
      <c r="D3874" t="str">
        <f>T("1189")</f>
        <v>1189</v>
      </c>
      <c r="E3874" t="str">
        <f t="shared" si="518"/>
        <v>담화공</v>
      </c>
      <c r="H3874" t="str">
        <f t="shared" si="517"/>
        <v>스토리위즈</v>
      </c>
      <c r="I3874" t="str">
        <f t="shared" si="519"/>
        <v>디버프 마스터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>
        <v>70</v>
      </c>
      <c r="AT3874" t="str">
        <f t="shared" si="520"/>
        <v>9791137602663</v>
      </c>
      <c r="AV3874" t="str">
        <f t="shared" si="521"/>
        <v>판타지 웹소설 &gt; 퓨전 판타지</v>
      </c>
    </row>
    <row r="3875" spans="1:48" x14ac:dyDescent="0.4">
      <c r="A3875">
        <v>2313012849</v>
      </c>
      <c r="B3875">
        <v>2313014038</v>
      </c>
      <c r="C3875" t="str">
        <f>T("디버프 마스터 1190화")</f>
        <v>디버프 마스터 1190화</v>
      </c>
      <c r="D3875" t="str">
        <f>T("1190")</f>
        <v>1190</v>
      </c>
      <c r="E3875" t="str">
        <f t="shared" si="518"/>
        <v>담화공</v>
      </c>
      <c r="H3875" t="str">
        <f t="shared" si="517"/>
        <v>스토리위즈</v>
      </c>
      <c r="I3875" t="str">
        <f t="shared" si="519"/>
        <v>디버프 마스터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>
        <v>70</v>
      </c>
      <c r="AT3875" t="str">
        <f t="shared" si="520"/>
        <v>9791137602663</v>
      </c>
      <c r="AV3875" t="str">
        <f t="shared" si="521"/>
        <v>판타지 웹소설 &gt; 퓨전 판타지</v>
      </c>
    </row>
    <row r="3876" spans="1:48" x14ac:dyDescent="0.4">
      <c r="A3876">
        <v>2313012849</v>
      </c>
      <c r="B3876">
        <v>2313014039</v>
      </c>
      <c r="C3876" t="str">
        <f>T("디버프 마스터 1191화")</f>
        <v>디버프 마스터 1191화</v>
      </c>
      <c r="D3876" t="str">
        <f>T("1191")</f>
        <v>1191</v>
      </c>
      <c r="E3876" t="str">
        <f t="shared" si="518"/>
        <v>담화공</v>
      </c>
      <c r="H3876" t="str">
        <f t="shared" si="517"/>
        <v>스토리위즈</v>
      </c>
      <c r="I3876" t="str">
        <f t="shared" si="519"/>
        <v>디버프 마스터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>
        <v>70</v>
      </c>
      <c r="AT3876" t="str">
        <f t="shared" si="520"/>
        <v>9791137602663</v>
      </c>
      <c r="AV3876" t="str">
        <f t="shared" si="521"/>
        <v>판타지 웹소설 &gt; 퓨전 판타지</v>
      </c>
    </row>
    <row r="3877" spans="1:48" x14ac:dyDescent="0.4">
      <c r="A3877">
        <v>2313012849</v>
      </c>
      <c r="B3877">
        <v>2313014040</v>
      </c>
      <c r="C3877" t="str">
        <f>T("디버프 마스터 1192화")</f>
        <v>디버프 마스터 1192화</v>
      </c>
      <c r="D3877" t="str">
        <f>T("1192")</f>
        <v>1192</v>
      </c>
      <c r="E3877" t="str">
        <f t="shared" si="518"/>
        <v>담화공</v>
      </c>
      <c r="H3877" t="str">
        <f t="shared" si="517"/>
        <v>스토리위즈</v>
      </c>
      <c r="I3877" t="str">
        <f t="shared" si="519"/>
        <v>디버프 마스터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>
        <v>70</v>
      </c>
      <c r="AT3877" t="str">
        <f t="shared" si="520"/>
        <v>9791137602663</v>
      </c>
      <c r="AV3877" t="str">
        <f t="shared" si="521"/>
        <v>판타지 웹소설 &gt; 퓨전 판타지</v>
      </c>
    </row>
    <row r="3878" spans="1:48" x14ac:dyDescent="0.4">
      <c r="A3878">
        <v>2313012849</v>
      </c>
      <c r="B3878">
        <v>2313014042</v>
      </c>
      <c r="C3878" t="str">
        <f>T("디버프 마스터 1194화")</f>
        <v>디버프 마스터 1194화</v>
      </c>
      <c r="D3878" t="str">
        <f>T("1194")</f>
        <v>1194</v>
      </c>
      <c r="E3878" t="str">
        <f t="shared" si="518"/>
        <v>담화공</v>
      </c>
      <c r="H3878" t="str">
        <f t="shared" si="517"/>
        <v>스토리위즈</v>
      </c>
      <c r="I3878" t="str">
        <f t="shared" si="519"/>
        <v>디버프 마스터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>
        <v>70</v>
      </c>
      <c r="AT3878" t="str">
        <f t="shared" si="520"/>
        <v>9791137602663</v>
      </c>
      <c r="AV3878" t="str">
        <f t="shared" si="521"/>
        <v>판타지 웹소설 &gt; 퓨전 판타지</v>
      </c>
    </row>
    <row r="3879" spans="1:48" x14ac:dyDescent="0.4">
      <c r="A3879">
        <v>2313012849</v>
      </c>
      <c r="B3879">
        <v>2313014043</v>
      </c>
      <c r="C3879" t="str">
        <f>T("디버프 마스터 1195화")</f>
        <v>디버프 마스터 1195화</v>
      </c>
      <c r="D3879" t="str">
        <f>T("1195")</f>
        <v>1195</v>
      </c>
      <c r="E3879" t="str">
        <f t="shared" si="518"/>
        <v>담화공</v>
      </c>
      <c r="H3879" t="str">
        <f t="shared" si="517"/>
        <v>스토리위즈</v>
      </c>
      <c r="I3879" t="str">
        <f t="shared" si="519"/>
        <v>디버프 마스터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>
        <v>70</v>
      </c>
      <c r="AT3879" t="str">
        <f t="shared" si="520"/>
        <v>9791137602663</v>
      </c>
      <c r="AV3879" t="str">
        <f t="shared" si="521"/>
        <v>판타지 웹소설 &gt; 퓨전 판타지</v>
      </c>
    </row>
    <row r="3880" spans="1:48" x14ac:dyDescent="0.4">
      <c r="A3880">
        <v>2313012849</v>
      </c>
      <c r="B3880">
        <v>2313014044</v>
      </c>
      <c r="C3880" t="str">
        <f>T("디버프 마스터 1196화")</f>
        <v>디버프 마스터 1196화</v>
      </c>
      <c r="D3880" t="str">
        <f>T("1196")</f>
        <v>1196</v>
      </c>
      <c r="E3880" t="str">
        <f t="shared" si="518"/>
        <v>담화공</v>
      </c>
      <c r="H3880" t="str">
        <f t="shared" si="517"/>
        <v>스토리위즈</v>
      </c>
      <c r="I3880" t="str">
        <f t="shared" si="519"/>
        <v>디버프 마스터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>
        <v>70</v>
      </c>
      <c r="AT3880" t="str">
        <f t="shared" si="520"/>
        <v>9791137602663</v>
      </c>
      <c r="AV3880" t="str">
        <f t="shared" si="521"/>
        <v>판타지 웹소설 &gt; 퓨전 판타지</v>
      </c>
    </row>
    <row r="3881" spans="1:48" x14ac:dyDescent="0.4">
      <c r="A3881">
        <v>2313012849</v>
      </c>
      <c r="B3881">
        <v>2313014045</v>
      </c>
      <c r="C3881" t="str">
        <f>T("디버프 마스터 1197화")</f>
        <v>디버프 마스터 1197화</v>
      </c>
      <c r="D3881" t="str">
        <f>T("1197")</f>
        <v>1197</v>
      </c>
      <c r="E3881" t="str">
        <f t="shared" si="518"/>
        <v>담화공</v>
      </c>
      <c r="H3881" t="str">
        <f t="shared" si="517"/>
        <v>스토리위즈</v>
      </c>
      <c r="I3881" t="str">
        <f t="shared" si="519"/>
        <v>디버프 마스터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>
        <v>70</v>
      </c>
      <c r="AT3881" t="str">
        <f t="shared" si="520"/>
        <v>9791137602663</v>
      </c>
      <c r="AV3881" t="str">
        <f t="shared" si="521"/>
        <v>판타지 웹소설 &gt; 퓨전 판타지</v>
      </c>
    </row>
    <row r="3882" spans="1:48" x14ac:dyDescent="0.4">
      <c r="A3882">
        <v>2313012849</v>
      </c>
      <c r="B3882">
        <v>2313014046</v>
      </c>
      <c r="C3882" t="str">
        <f>T("디버프 마스터 1198화")</f>
        <v>디버프 마스터 1198화</v>
      </c>
      <c r="D3882" t="str">
        <f>T("1198")</f>
        <v>1198</v>
      </c>
      <c r="E3882" t="str">
        <f t="shared" si="518"/>
        <v>담화공</v>
      </c>
      <c r="H3882" t="str">
        <f t="shared" si="517"/>
        <v>스토리위즈</v>
      </c>
      <c r="I3882" t="str">
        <f t="shared" si="519"/>
        <v>디버프 마스터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>
        <v>70</v>
      </c>
      <c r="AT3882" t="str">
        <f t="shared" si="520"/>
        <v>9791137602663</v>
      </c>
      <c r="AV3882" t="str">
        <f t="shared" si="521"/>
        <v>판타지 웹소설 &gt; 퓨전 판타지</v>
      </c>
    </row>
    <row r="3883" spans="1:48" x14ac:dyDescent="0.4">
      <c r="A3883">
        <v>2313012849</v>
      </c>
      <c r="B3883">
        <v>2313014047</v>
      </c>
      <c r="C3883" t="str">
        <f>T("디버프 마스터 1199화")</f>
        <v>디버프 마스터 1199화</v>
      </c>
      <c r="D3883" t="str">
        <f>T("1199")</f>
        <v>1199</v>
      </c>
      <c r="E3883" t="str">
        <f t="shared" si="518"/>
        <v>담화공</v>
      </c>
      <c r="H3883" t="str">
        <f t="shared" si="517"/>
        <v>스토리위즈</v>
      </c>
      <c r="I3883" t="str">
        <f t="shared" si="519"/>
        <v>디버프 마스터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>
        <v>70</v>
      </c>
      <c r="AT3883" t="str">
        <f t="shared" si="520"/>
        <v>9791137602663</v>
      </c>
      <c r="AV3883" t="str">
        <f t="shared" si="521"/>
        <v>판타지 웹소설 &gt; 퓨전 판타지</v>
      </c>
    </row>
    <row r="3884" spans="1:48" x14ac:dyDescent="0.4">
      <c r="A3884">
        <v>2313012849</v>
      </c>
      <c r="B3884">
        <v>2313014048</v>
      </c>
      <c r="C3884" t="str">
        <f>T("디버프 마스터 1200화")</f>
        <v>디버프 마스터 1200화</v>
      </c>
      <c r="D3884" t="str">
        <f>T("1200")</f>
        <v>1200</v>
      </c>
      <c r="E3884" t="str">
        <f t="shared" si="518"/>
        <v>담화공</v>
      </c>
      <c r="H3884" t="str">
        <f t="shared" si="517"/>
        <v>스토리위즈</v>
      </c>
      <c r="I3884" t="str">
        <f t="shared" si="519"/>
        <v>디버프 마스터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>
        <v>70</v>
      </c>
      <c r="AT3884" t="str">
        <f t="shared" si="520"/>
        <v>9791137602663</v>
      </c>
      <c r="AV3884" t="str">
        <f t="shared" si="521"/>
        <v>판타지 웹소설 &gt; 퓨전 판타지</v>
      </c>
    </row>
    <row r="3885" spans="1:48" x14ac:dyDescent="0.4">
      <c r="A3885">
        <v>2313012849</v>
      </c>
      <c r="B3885">
        <v>2313014049</v>
      </c>
      <c r="C3885" t="str">
        <f>T("디버프 마스터 1201화")</f>
        <v>디버프 마스터 1201화</v>
      </c>
      <c r="D3885" t="str">
        <f>T("1201")</f>
        <v>1201</v>
      </c>
      <c r="E3885" t="str">
        <f t="shared" si="518"/>
        <v>담화공</v>
      </c>
      <c r="H3885" t="str">
        <f t="shared" si="517"/>
        <v>스토리위즈</v>
      </c>
      <c r="I3885" t="str">
        <f t="shared" si="519"/>
        <v>디버프 마스터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>
        <v>70</v>
      </c>
      <c r="AT3885" t="str">
        <f t="shared" si="520"/>
        <v>9791137602663</v>
      </c>
      <c r="AV3885" t="str">
        <f t="shared" si="521"/>
        <v>판타지 웹소설 &gt; 퓨전 판타지</v>
      </c>
    </row>
    <row r="3886" spans="1:48" x14ac:dyDescent="0.4">
      <c r="A3886">
        <v>2313012849</v>
      </c>
      <c r="B3886">
        <v>2313014050</v>
      </c>
      <c r="C3886" t="str">
        <f>T("디버프 마스터 1202화")</f>
        <v>디버프 마스터 1202화</v>
      </c>
      <c r="D3886" t="str">
        <f>T("1202")</f>
        <v>1202</v>
      </c>
      <c r="E3886" t="str">
        <f t="shared" si="518"/>
        <v>담화공</v>
      </c>
      <c r="H3886" t="str">
        <f t="shared" si="517"/>
        <v>스토리위즈</v>
      </c>
      <c r="I3886" t="str">
        <f t="shared" si="519"/>
        <v>디버프 마스터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>
        <v>70</v>
      </c>
      <c r="AT3886" t="str">
        <f t="shared" si="520"/>
        <v>9791137602663</v>
      </c>
      <c r="AV3886" t="str">
        <f t="shared" si="521"/>
        <v>판타지 웹소설 &gt; 퓨전 판타지</v>
      </c>
    </row>
    <row r="3887" spans="1:48" x14ac:dyDescent="0.4">
      <c r="A3887">
        <v>2313012849</v>
      </c>
      <c r="B3887">
        <v>2313014051</v>
      </c>
      <c r="C3887" t="str">
        <f>T("디버프 마스터 1203화")</f>
        <v>디버프 마스터 1203화</v>
      </c>
      <c r="D3887" t="str">
        <f>T("1203")</f>
        <v>1203</v>
      </c>
      <c r="E3887" t="str">
        <f t="shared" si="518"/>
        <v>담화공</v>
      </c>
      <c r="H3887" t="str">
        <f t="shared" si="517"/>
        <v>스토리위즈</v>
      </c>
      <c r="I3887" t="str">
        <f t="shared" si="519"/>
        <v>디버프 마스터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>
        <v>70</v>
      </c>
      <c r="AT3887" t="str">
        <f t="shared" si="520"/>
        <v>9791137602663</v>
      </c>
      <c r="AV3887" t="str">
        <f t="shared" si="521"/>
        <v>판타지 웹소설 &gt; 퓨전 판타지</v>
      </c>
    </row>
    <row r="3888" spans="1:48" x14ac:dyDescent="0.4">
      <c r="A3888">
        <v>2313012849</v>
      </c>
      <c r="B3888">
        <v>2313014052</v>
      </c>
      <c r="C3888" t="str">
        <f>T("디버프 마스터 1204화")</f>
        <v>디버프 마스터 1204화</v>
      </c>
      <c r="D3888" t="str">
        <f>T("1204")</f>
        <v>1204</v>
      </c>
      <c r="E3888" t="str">
        <f t="shared" si="518"/>
        <v>담화공</v>
      </c>
      <c r="H3888" t="str">
        <f t="shared" si="517"/>
        <v>스토리위즈</v>
      </c>
      <c r="I3888" t="str">
        <f t="shared" si="519"/>
        <v>디버프 마스터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>
        <v>70</v>
      </c>
      <c r="AT3888" t="str">
        <f t="shared" si="520"/>
        <v>9791137602663</v>
      </c>
      <c r="AV3888" t="str">
        <f t="shared" si="521"/>
        <v>판타지 웹소설 &gt; 퓨전 판타지</v>
      </c>
    </row>
    <row r="3889" spans="1:48" x14ac:dyDescent="0.4">
      <c r="A3889">
        <v>2313012849</v>
      </c>
      <c r="B3889">
        <v>2313014053</v>
      </c>
      <c r="C3889" t="str">
        <f>T("디버프 마스터 1205화")</f>
        <v>디버프 마스터 1205화</v>
      </c>
      <c r="D3889" t="str">
        <f>T("1205")</f>
        <v>1205</v>
      </c>
      <c r="E3889" t="str">
        <f t="shared" si="518"/>
        <v>담화공</v>
      </c>
      <c r="H3889" t="str">
        <f t="shared" si="517"/>
        <v>스토리위즈</v>
      </c>
      <c r="I3889" t="str">
        <f t="shared" si="519"/>
        <v>디버프 마스터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>
        <v>70</v>
      </c>
      <c r="AT3889" t="str">
        <f t="shared" si="520"/>
        <v>9791137602663</v>
      </c>
      <c r="AV3889" t="str">
        <f t="shared" si="521"/>
        <v>판타지 웹소설 &gt; 퓨전 판타지</v>
      </c>
    </row>
    <row r="3890" spans="1:48" x14ac:dyDescent="0.4">
      <c r="A3890">
        <v>2313012849</v>
      </c>
      <c r="B3890">
        <v>2313014054</v>
      </c>
      <c r="C3890" t="str">
        <f>T("디버프 마스터 1206화")</f>
        <v>디버프 마스터 1206화</v>
      </c>
      <c r="D3890" t="str">
        <f>T("1206")</f>
        <v>1206</v>
      </c>
      <c r="E3890" t="str">
        <f t="shared" si="518"/>
        <v>담화공</v>
      </c>
      <c r="H3890" t="str">
        <f t="shared" si="517"/>
        <v>스토리위즈</v>
      </c>
      <c r="I3890" t="str">
        <f t="shared" si="519"/>
        <v>디버프 마스터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>
        <v>70</v>
      </c>
      <c r="AT3890" t="str">
        <f t="shared" si="520"/>
        <v>9791137602663</v>
      </c>
      <c r="AV3890" t="str">
        <f t="shared" si="521"/>
        <v>판타지 웹소설 &gt; 퓨전 판타지</v>
      </c>
    </row>
    <row r="3891" spans="1:48" x14ac:dyDescent="0.4">
      <c r="A3891">
        <v>2313012849</v>
      </c>
      <c r="B3891">
        <v>2313014055</v>
      </c>
      <c r="C3891" t="str">
        <f>T("디버프 마스터 1207화")</f>
        <v>디버프 마스터 1207화</v>
      </c>
      <c r="D3891" t="str">
        <f>T("1207")</f>
        <v>1207</v>
      </c>
      <c r="E3891" t="str">
        <f t="shared" si="518"/>
        <v>담화공</v>
      </c>
      <c r="H3891" t="str">
        <f t="shared" si="517"/>
        <v>스토리위즈</v>
      </c>
      <c r="I3891" t="str">
        <f t="shared" si="519"/>
        <v>디버프 마스터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>
        <v>70</v>
      </c>
      <c r="AT3891" t="str">
        <f t="shared" si="520"/>
        <v>9791137602663</v>
      </c>
      <c r="AV3891" t="str">
        <f t="shared" si="521"/>
        <v>판타지 웹소설 &gt; 퓨전 판타지</v>
      </c>
    </row>
    <row r="3892" spans="1:48" x14ac:dyDescent="0.4">
      <c r="A3892">
        <v>2313012849</v>
      </c>
      <c r="B3892">
        <v>2313014056</v>
      </c>
      <c r="C3892" t="str">
        <f>T("디버프 마스터 1208화")</f>
        <v>디버프 마스터 1208화</v>
      </c>
      <c r="D3892" t="str">
        <f>T("1208")</f>
        <v>1208</v>
      </c>
      <c r="E3892" t="str">
        <f t="shared" si="518"/>
        <v>담화공</v>
      </c>
      <c r="H3892" t="str">
        <f t="shared" si="517"/>
        <v>스토리위즈</v>
      </c>
      <c r="I3892" t="str">
        <f t="shared" si="519"/>
        <v>디버프 마스터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>
        <v>70</v>
      </c>
      <c r="AT3892" t="str">
        <f t="shared" si="520"/>
        <v>9791137602663</v>
      </c>
      <c r="AV3892" t="str">
        <f t="shared" si="521"/>
        <v>판타지 웹소설 &gt; 퓨전 판타지</v>
      </c>
    </row>
    <row r="3893" spans="1:48" x14ac:dyDescent="0.4">
      <c r="A3893">
        <v>2313012849</v>
      </c>
      <c r="B3893">
        <v>2313014057</v>
      </c>
      <c r="C3893" t="str">
        <f>T("디버프 마스터 1209화")</f>
        <v>디버프 마스터 1209화</v>
      </c>
      <c r="D3893" t="str">
        <f>T("1209")</f>
        <v>1209</v>
      </c>
      <c r="E3893" t="str">
        <f t="shared" si="518"/>
        <v>담화공</v>
      </c>
      <c r="H3893" t="str">
        <f t="shared" si="517"/>
        <v>스토리위즈</v>
      </c>
      <c r="I3893" t="str">
        <f t="shared" si="519"/>
        <v>디버프 마스터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>
        <v>70</v>
      </c>
      <c r="AT3893" t="str">
        <f t="shared" si="520"/>
        <v>9791137602663</v>
      </c>
      <c r="AV3893" t="str">
        <f t="shared" si="521"/>
        <v>판타지 웹소설 &gt; 퓨전 판타지</v>
      </c>
    </row>
    <row r="3894" spans="1:48" x14ac:dyDescent="0.4">
      <c r="A3894">
        <v>2313012849</v>
      </c>
      <c r="B3894">
        <v>2313014058</v>
      </c>
      <c r="C3894" t="str">
        <f>T("디버프 마스터 1210화")</f>
        <v>디버프 마스터 1210화</v>
      </c>
      <c r="D3894" t="str">
        <f>T("1210")</f>
        <v>1210</v>
      </c>
      <c r="E3894" t="str">
        <f t="shared" si="518"/>
        <v>담화공</v>
      </c>
      <c r="H3894" t="str">
        <f t="shared" si="517"/>
        <v>스토리위즈</v>
      </c>
      <c r="I3894" t="str">
        <f t="shared" si="519"/>
        <v>디버프 마스터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>
        <v>70</v>
      </c>
      <c r="AT3894" t="str">
        <f t="shared" si="520"/>
        <v>9791137602663</v>
      </c>
      <c r="AV3894" t="str">
        <f t="shared" si="521"/>
        <v>판타지 웹소설 &gt; 퓨전 판타지</v>
      </c>
    </row>
    <row r="3895" spans="1:48" x14ac:dyDescent="0.4">
      <c r="A3895">
        <v>2313012849</v>
      </c>
      <c r="B3895">
        <v>2313014059</v>
      </c>
      <c r="C3895" t="str">
        <f>T("디버프 마스터 1211화")</f>
        <v>디버프 마스터 1211화</v>
      </c>
      <c r="D3895" t="str">
        <f>T("1211")</f>
        <v>1211</v>
      </c>
      <c r="E3895" t="str">
        <f t="shared" si="518"/>
        <v>담화공</v>
      </c>
      <c r="H3895" t="str">
        <f t="shared" si="517"/>
        <v>스토리위즈</v>
      </c>
      <c r="I3895" t="str">
        <f t="shared" si="519"/>
        <v>디버프 마스터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>
        <v>70</v>
      </c>
      <c r="AT3895" t="str">
        <f t="shared" si="520"/>
        <v>9791137602663</v>
      </c>
      <c r="AV3895" t="str">
        <f t="shared" si="521"/>
        <v>판타지 웹소설 &gt; 퓨전 판타지</v>
      </c>
    </row>
    <row r="3896" spans="1:48" x14ac:dyDescent="0.4">
      <c r="A3896">
        <v>2313012849</v>
      </c>
      <c r="B3896">
        <v>2313014060</v>
      </c>
      <c r="C3896" t="str">
        <f>T("디버프 마스터 1212화")</f>
        <v>디버프 마스터 1212화</v>
      </c>
      <c r="D3896" t="str">
        <f>T("1212")</f>
        <v>1212</v>
      </c>
      <c r="E3896" t="str">
        <f t="shared" si="518"/>
        <v>담화공</v>
      </c>
      <c r="H3896" t="str">
        <f t="shared" si="517"/>
        <v>스토리위즈</v>
      </c>
      <c r="I3896" t="str">
        <f t="shared" si="519"/>
        <v>디버프 마스터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70</v>
      </c>
      <c r="AT3896" t="str">
        <f t="shared" si="520"/>
        <v>9791137602663</v>
      </c>
      <c r="AV3896" t="str">
        <f t="shared" si="521"/>
        <v>판타지 웹소설 &gt; 퓨전 판타지</v>
      </c>
    </row>
    <row r="3897" spans="1:48" x14ac:dyDescent="0.4">
      <c r="A3897">
        <v>2313012849</v>
      </c>
      <c r="B3897">
        <v>2313014061</v>
      </c>
      <c r="C3897" t="str">
        <f>T("디버프 마스터 1213화")</f>
        <v>디버프 마스터 1213화</v>
      </c>
      <c r="D3897" t="str">
        <f>T("1213")</f>
        <v>1213</v>
      </c>
      <c r="E3897" t="str">
        <f t="shared" si="518"/>
        <v>담화공</v>
      </c>
      <c r="H3897" t="str">
        <f t="shared" ref="H3897:H3960" si="522">T("스토리위즈")</f>
        <v>스토리위즈</v>
      </c>
      <c r="I3897" t="str">
        <f t="shared" si="519"/>
        <v>디버프 마스터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>
        <v>70</v>
      </c>
      <c r="AT3897" t="str">
        <f t="shared" si="520"/>
        <v>9791137602663</v>
      </c>
      <c r="AV3897" t="str">
        <f t="shared" si="521"/>
        <v>판타지 웹소설 &gt; 퓨전 판타지</v>
      </c>
    </row>
    <row r="3898" spans="1:48" x14ac:dyDescent="0.4">
      <c r="A3898">
        <v>2313012849</v>
      </c>
      <c r="B3898">
        <v>2313014062</v>
      </c>
      <c r="C3898" t="str">
        <f>T("디버프 마스터 1214화")</f>
        <v>디버프 마스터 1214화</v>
      </c>
      <c r="D3898" t="str">
        <f>T("1214")</f>
        <v>1214</v>
      </c>
      <c r="E3898" t="str">
        <f t="shared" si="518"/>
        <v>담화공</v>
      </c>
      <c r="H3898" t="str">
        <f t="shared" si="522"/>
        <v>스토리위즈</v>
      </c>
      <c r="I3898" t="str">
        <f t="shared" si="519"/>
        <v>디버프 마스터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>
        <v>70</v>
      </c>
      <c r="AT3898" t="str">
        <f t="shared" si="520"/>
        <v>9791137602663</v>
      </c>
      <c r="AV3898" t="str">
        <f t="shared" si="521"/>
        <v>판타지 웹소설 &gt; 퓨전 판타지</v>
      </c>
    </row>
    <row r="3899" spans="1:48" x14ac:dyDescent="0.4">
      <c r="A3899">
        <v>2313012849</v>
      </c>
      <c r="B3899">
        <v>2313014063</v>
      </c>
      <c r="C3899" t="str">
        <f>T("디버프 마스터 1215화")</f>
        <v>디버프 마스터 1215화</v>
      </c>
      <c r="D3899" t="str">
        <f>T("1215")</f>
        <v>1215</v>
      </c>
      <c r="E3899" t="str">
        <f t="shared" si="518"/>
        <v>담화공</v>
      </c>
      <c r="H3899" t="str">
        <f t="shared" si="522"/>
        <v>스토리위즈</v>
      </c>
      <c r="I3899" t="str">
        <f t="shared" si="519"/>
        <v>디버프 마스터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>
        <v>70</v>
      </c>
      <c r="AT3899" t="str">
        <f t="shared" si="520"/>
        <v>9791137602663</v>
      </c>
      <c r="AV3899" t="str">
        <f t="shared" si="521"/>
        <v>판타지 웹소설 &gt; 퓨전 판타지</v>
      </c>
    </row>
    <row r="3900" spans="1:48" x14ac:dyDescent="0.4">
      <c r="A3900">
        <v>2313012849</v>
      </c>
      <c r="B3900">
        <v>2313014064</v>
      </c>
      <c r="C3900" t="str">
        <f>T("디버프 마스터 1216화")</f>
        <v>디버프 마스터 1216화</v>
      </c>
      <c r="D3900" t="str">
        <f>T("1216")</f>
        <v>1216</v>
      </c>
      <c r="E3900" t="str">
        <f t="shared" si="518"/>
        <v>담화공</v>
      </c>
      <c r="H3900" t="str">
        <f t="shared" si="522"/>
        <v>스토리위즈</v>
      </c>
      <c r="I3900" t="str">
        <f t="shared" si="519"/>
        <v>디버프 마스터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>
        <v>70</v>
      </c>
      <c r="AT3900" t="str">
        <f t="shared" si="520"/>
        <v>9791137602663</v>
      </c>
      <c r="AV3900" t="str">
        <f t="shared" si="521"/>
        <v>판타지 웹소설 &gt; 퓨전 판타지</v>
      </c>
    </row>
    <row r="3901" spans="1:48" x14ac:dyDescent="0.4">
      <c r="A3901">
        <v>2313012849</v>
      </c>
      <c r="B3901">
        <v>2313014065</v>
      </c>
      <c r="C3901" t="str">
        <f>T("디버프 마스터 1217화")</f>
        <v>디버프 마스터 1217화</v>
      </c>
      <c r="D3901" t="str">
        <f>T("1217")</f>
        <v>1217</v>
      </c>
      <c r="E3901" t="str">
        <f t="shared" si="518"/>
        <v>담화공</v>
      </c>
      <c r="H3901" t="str">
        <f t="shared" si="522"/>
        <v>스토리위즈</v>
      </c>
      <c r="I3901" t="str">
        <f t="shared" si="519"/>
        <v>디버프 마스터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>
        <v>70</v>
      </c>
      <c r="AT3901" t="str">
        <f t="shared" si="520"/>
        <v>9791137602663</v>
      </c>
      <c r="AV3901" t="str">
        <f t="shared" si="521"/>
        <v>판타지 웹소설 &gt; 퓨전 판타지</v>
      </c>
    </row>
    <row r="3902" spans="1:48" x14ac:dyDescent="0.4">
      <c r="A3902">
        <v>2313012849</v>
      </c>
      <c r="B3902">
        <v>2313014066</v>
      </c>
      <c r="C3902" t="str">
        <f>T("디버프 마스터 1218화")</f>
        <v>디버프 마스터 1218화</v>
      </c>
      <c r="D3902" t="str">
        <f>T("1218")</f>
        <v>1218</v>
      </c>
      <c r="E3902" t="str">
        <f t="shared" si="518"/>
        <v>담화공</v>
      </c>
      <c r="H3902" t="str">
        <f t="shared" si="522"/>
        <v>스토리위즈</v>
      </c>
      <c r="I3902" t="str">
        <f t="shared" si="519"/>
        <v>디버프 마스터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>
        <v>70</v>
      </c>
      <c r="AT3902" t="str">
        <f t="shared" si="520"/>
        <v>9791137602663</v>
      </c>
      <c r="AV3902" t="str">
        <f t="shared" si="521"/>
        <v>판타지 웹소설 &gt; 퓨전 판타지</v>
      </c>
    </row>
    <row r="3903" spans="1:48" x14ac:dyDescent="0.4">
      <c r="A3903">
        <v>2313012849</v>
      </c>
      <c r="B3903">
        <v>2313014067</v>
      </c>
      <c r="C3903" t="str">
        <f>T("디버프 마스터 1219화")</f>
        <v>디버프 마스터 1219화</v>
      </c>
      <c r="D3903" t="str">
        <f>T("1219")</f>
        <v>1219</v>
      </c>
      <c r="E3903" t="str">
        <f t="shared" si="518"/>
        <v>담화공</v>
      </c>
      <c r="H3903" t="str">
        <f t="shared" si="522"/>
        <v>스토리위즈</v>
      </c>
      <c r="I3903" t="str">
        <f t="shared" si="519"/>
        <v>디버프 마스터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>
        <v>70</v>
      </c>
      <c r="AT3903" t="str">
        <f t="shared" si="520"/>
        <v>9791137602663</v>
      </c>
      <c r="AV3903" t="str">
        <f t="shared" si="521"/>
        <v>판타지 웹소설 &gt; 퓨전 판타지</v>
      </c>
    </row>
    <row r="3904" spans="1:48" x14ac:dyDescent="0.4">
      <c r="A3904">
        <v>2313012849</v>
      </c>
      <c r="B3904">
        <v>2313014068</v>
      </c>
      <c r="C3904" t="str">
        <f>T("디버프 마스터 1220화")</f>
        <v>디버프 마스터 1220화</v>
      </c>
      <c r="D3904" t="str">
        <f>T("1220")</f>
        <v>1220</v>
      </c>
      <c r="E3904" t="str">
        <f t="shared" si="518"/>
        <v>담화공</v>
      </c>
      <c r="H3904" t="str">
        <f t="shared" si="522"/>
        <v>스토리위즈</v>
      </c>
      <c r="I3904" t="str">
        <f t="shared" si="519"/>
        <v>디버프 마스터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>
        <v>70</v>
      </c>
      <c r="AT3904" t="str">
        <f t="shared" si="520"/>
        <v>9791137602663</v>
      </c>
      <c r="AV3904" t="str">
        <f t="shared" si="521"/>
        <v>판타지 웹소설 &gt; 퓨전 판타지</v>
      </c>
    </row>
    <row r="3905" spans="1:48" x14ac:dyDescent="0.4">
      <c r="A3905">
        <v>2313012849</v>
      </c>
      <c r="B3905">
        <v>2313014069</v>
      </c>
      <c r="C3905" t="str">
        <f>T("디버프 마스터 1221화")</f>
        <v>디버프 마스터 1221화</v>
      </c>
      <c r="D3905" t="str">
        <f>T("1221")</f>
        <v>1221</v>
      </c>
      <c r="E3905" t="str">
        <f t="shared" si="518"/>
        <v>담화공</v>
      </c>
      <c r="H3905" t="str">
        <f t="shared" si="522"/>
        <v>스토리위즈</v>
      </c>
      <c r="I3905" t="str">
        <f t="shared" si="519"/>
        <v>디버프 마스터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>
        <v>70</v>
      </c>
      <c r="AT3905" t="str">
        <f t="shared" si="520"/>
        <v>9791137602663</v>
      </c>
      <c r="AV3905" t="str">
        <f t="shared" si="521"/>
        <v>판타지 웹소설 &gt; 퓨전 판타지</v>
      </c>
    </row>
    <row r="3906" spans="1:48" x14ac:dyDescent="0.4">
      <c r="A3906">
        <v>2313012849</v>
      </c>
      <c r="B3906">
        <v>2313014070</v>
      </c>
      <c r="C3906" t="str">
        <f>T("디버프 마스터 1222화")</f>
        <v>디버프 마스터 1222화</v>
      </c>
      <c r="D3906" t="str">
        <f>T("1222")</f>
        <v>1222</v>
      </c>
      <c r="E3906" t="str">
        <f t="shared" si="518"/>
        <v>담화공</v>
      </c>
      <c r="H3906" t="str">
        <f t="shared" si="522"/>
        <v>스토리위즈</v>
      </c>
      <c r="I3906" t="str">
        <f t="shared" si="519"/>
        <v>디버프 마스터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>
        <v>70</v>
      </c>
      <c r="AT3906" t="str">
        <f t="shared" si="520"/>
        <v>9791137602663</v>
      </c>
      <c r="AV3906" t="str">
        <f t="shared" si="521"/>
        <v>판타지 웹소설 &gt; 퓨전 판타지</v>
      </c>
    </row>
    <row r="3907" spans="1:48" x14ac:dyDescent="0.4">
      <c r="A3907">
        <v>2313012849</v>
      </c>
      <c r="B3907">
        <v>2313014071</v>
      </c>
      <c r="C3907" t="str">
        <f>T("디버프 마스터 1223화")</f>
        <v>디버프 마스터 1223화</v>
      </c>
      <c r="D3907" t="str">
        <f>T("1223")</f>
        <v>1223</v>
      </c>
      <c r="E3907" t="str">
        <f t="shared" si="518"/>
        <v>담화공</v>
      </c>
      <c r="H3907" t="str">
        <f t="shared" si="522"/>
        <v>스토리위즈</v>
      </c>
      <c r="I3907" t="str">
        <f t="shared" si="519"/>
        <v>디버프 마스터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>
        <v>70</v>
      </c>
      <c r="AT3907" t="str">
        <f t="shared" si="520"/>
        <v>9791137602663</v>
      </c>
      <c r="AV3907" t="str">
        <f t="shared" si="521"/>
        <v>판타지 웹소설 &gt; 퓨전 판타지</v>
      </c>
    </row>
    <row r="3908" spans="1:48" x14ac:dyDescent="0.4">
      <c r="A3908">
        <v>2313012849</v>
      </c>
      <c r="B3908">
        <v>2313014072</v>
      </c>
      <c r="C3908" t="str">
        <f>T("디버프 마스터 1224화")</f>
        <v>디버프 마스터 1224화</v>
      </c>
      <c r="D3908" t="str">
        <f>T("1224")</f>
        <v>1224</v>
      </c>
      <c r="E3908" t="str">
        <f t="shared" si="518"/>
        <v>담화공</v>
      </c>
      <c r="H3908" t="str">
        <f t="shared" si="522"/>
        <v>스토리위즈</v>
      </c>
      <c r="I3908" t="str">
        <f t="shared" si="519"/>
        <v>디버프 마스터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>
        <v>70</v>
      </c>
      <c r="AT3908" t="str">
        <f t="shared" si="520"/>
        <v>9791137602663</v>
      </c>
      <c r="AV3908" t="str">
        <f t="shared" si="521"/>
        <v>판타지 웹소설 &gt; 퓨전 판타지</v>
      </c>
    </row>
    <row r="3909" spans="1:48" x14ac:dyDescent="0.4">
      <c r="A3909">
        <v>2313012849</v>
      </c>
      <c r="B3909">
        <v>2313014073</v>
      </c>
      <c r="C3909" t="str">
        <f>T("디버프 마스터 1225화")</f>
        <v>디버프 마스터 1225화</v>
      </c>
      <c r="D3909" t="str">
        <f>T("1225")</f>
        <v>1225</v>
      </c>
      <c r="E3909" t="str">
        <f t="shared" si="518"/>
        <v>담화공</v>
      </c>
      <c r="H3909" t="str">
        <f t="shared" si="522"/>
        <v>스토리위즈</v>
      </c>
      <c r="I3909" t="str">
        <f t="shared" si="519"/>
        <v>디버프 마스터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>
        <v>70</v>
      </c>
      <c r="AT3909" t="str">
        <f t="shared" si="520"/>
        <v>9791137602663</v>
      </c>
      <c r="AV3909" t="str">
        <f t="shared" si="521"/>
        <v>판타지 웹소설 &gt; 퓨전 판타지</v>
      </c>
    </row>
    <row r="3910" spans="1:48" x14ac:dyDescent="0.4">
      <c r="A3910">
        <v>2313012849</v>
      </c>
      <c r="B3910">
        <v>2313014074</v>
      </c>
      <c r="C3910" t="str">
        <f>T("디버프 마스터 1226화")</f>
        <v>디버프 마스터 1226화</v>
      </c>
      <c r="D3910" t="str">
        <f>T("1226")</f>
        <v>1226</v>
      </c>
      <c r="E3910" t="str">
        <f t="shared" si="518"/>
        <v>담화공</v>
      </c>
      <c r="H3910" t="str">
        <f t="shared" si="522"/>
        <v>스토리위즈</v>
      </c>
      <c r="I3910" t="str">
        <f t="shared" si="519"/>
        <v>디버프 마스터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>
        <v>70</v>
      </c>
      <c r="AT3910" t="str">
        <f t="shared" si="520"/>
        <v>9791137602663</v>
      </c>
      <c r="AV3910" t="str">
        <f t="shared" si="521"/>
        <v>판타지 웹소설 &gt; 퓨전 판타지</v>
      </c>
    </row>
    <row r="3911" spans="1:48" x14ac:dyDescent="0.4">
      <c r="A3911">
        <v>2313012849</v>
      </c>
      <c r="B3911">
        <v>2313014075</v>
      </c>
      <c r="C3911" t="str">
        <f>T("디버프 마스터 1227화")</f>
        <v>디버프 마스터 1227화</v>
      </c>
      <c r="D3911" t="str">
        <f>T("1227")</f>
        <v>1227</v>
      </c>
      <c r="E3911" t="str">
        <f t="shared" si="518"/>
        <v>담화공</v>
      </c>
      <c r="H3911" t="str">
        <f t="shared" si="522"/>
        <v>스토리위즈</v>
      </c>
      <c r="I3911" t="str">
        <f t="shared" si="519"/>
        <v>디버프 마스터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>
        <v>70</v>
      </c>
      <c r="AT3911" t="str">
        <f t="shared" si="520"/>
        <v>9791137602663</v>
      </c>
      <c r="AV3911" t="str">
        <f t="shared" si="521"/>
        <v>판타지 웹소설 &gt; 퓨전 판타지</v>
      </c>
    </row>
    <row r="3912" spans="1:48" x14ac:dyDescent="0.4">
      <c r="A3912">
        <v>2313012849</v>
      </c>
      <c r="B3912">
        <v>2313014076</v>
      </c>
      <c r="C3912" t="str">
        <f>T("디버프 마스터 1228화")</f>
        <v>디버프 마스터 1228화</v>
      </c>
      <c r="D3912" t="str">
        <f>T("1228")</f>
        <v>1228</v>
      </c>
      <c r="E3912" t="str">
        <f t="shared" ref="E3912:E3975" si="523">T("담화공")</f>
        <v>담화공</v>
      </c>
      <c r="H3912" t="str">
        <f t="shared" si="522"/>
        <v>스토리위즈</v>
      </c>
      <c r="I3912" t="str">
        <f t="shared" ref="I3912:I3975" si="524">T("디버프 마스터")</f>
        <v>디버프 마스터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>
        <v>70</v>
      </c>
      <c r="AT3912" t="str">
        <f t="shared" ref="AT3912:AT3975" si="525">T("9791137602663")</f>
        <v>9791137602663</v>
      </c>
      <c r="AV3912" t="str">
        <f t="shared" ref="AV3912:AV3975" si="526">T("판타지 웹소설 &gt; 퓨전 판타지")</f>
        <v>판타지 웹소설 &gt; 퓨전 판타지</v>
      </c>
    </row>
    <row r="3913" spans="1:48" x14ac:dyDescent="0.4">
      <c r="A3913">
        <v>2313012849</v>
      </c>
      <c r="B3913">
        <v>2313014077</v>
      </c>
      <c r="C3913" t="str">
        <f>T("디버프 마스터 1229화")</f>
        <v>디버프 마스터 1229화</v>
      </c>
      <c r="D3913" t="str">
        <f>T("1229")</f>
        <v>1229</v>
      </c>
      <c r="E3913" t="str">
        <f t="shared" si="523"/>
        <v>담화공</v>
      </c>
      <c r="H3913" t="str">
        <f t="shared" si="522"/>
        <v>스토리위즈</v>
      </c>
      <c r="I3913" t="str">
        <f t="shared" si="524"/>
        <v>디버프 마스터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>
        <v>70</v>
      </c>
      <c r="AT3913" t="str">
        <f t="shared" si="525"/>
        <v>9791137602663</v>
      </c>
      <c r="AV3913" t="str">
        <f t="shared" si="526"/>
        <v>판타지 웹소설 &gt; 퓨전 판타지</v>
      </c>
    </row>
    <row r="3914" spans="1:48" x14ac:dyDescent="0.4">
      <c r="A3914">
        <v>2313012849</v>
      </c>
      <c r="B3914">
        <v>2313014078</v>
      </c>
      <c r="C3914" t="str">
        <f>T("디버프 마스터 1230화")</f>
        <v>디버프 마스터 1230화</v>
      </c>
      <c r="D3914" t="str">
        <f>T("1230")</f>
        <v>1230</v>
      </c>
      <c r="E3914" t="str">
        <f t="shared" si="523"/>
        <v>담화공</v>
      </c>
      <c r="H3914" t="str">
        <f t="shared" si="522"/>
        <v>스토리위즈</v>
      </c>
      <c r="I3914" t="str">
        <f t="shared" si="524"/>
        <v>디버프 마스터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>
        <v>70</v>
      </c>
      <c r="AT3914" t="str">
        <f t="shared" si="525"/>
        <v>9791137602663</v>
      </c>
      <c r="AV3914" t="str">
        <f t="shared" si="526"/>
        <v>판타지 웹소설 &gt; 퓨전 판타지</v>
      </c>
    </row>
    <row r="3915" spans="1:48" x14ac:dyDescent="0.4">
      <c r="A3915">
        <v>2313012849</v>
      </c>
      <c r="B3915">
        <v>2313014079</v>
      </c>
      <c r="C3915" t="str">
        <f>T("디버프 마스터 1231화")</f>
        <v>디버프 마스터 1231화</v>
      </c>
      <c r="D3915" t="str">
        <f>T("1231")</f>
        <v>1231</v>
      </c>
      <c r="E3915" t="str">
        <f t="shared" si="523"/>
        <v>담화공</v>
      </c>
      <c r="H3915" t="str">
        <f t="shared" si="522"/>
        <v>스토리위즈</v>
      </c>
      <c r="I3915" t="str">
        <f t="shared" si="524"/>
        <v>디버프 마스터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>
        <v>70</v>
      </c>
      <c r="AT3915" t="str">
        <f t="shared" si="525"/>
        <v>9791137602663</v>
      </c>
      <c r="AV3915" t="str">
        <f t="shared" si="526"/>
        <v>판타지 웹소설 &gt; 퓨전 판타지</v>
      </c>
    </row>
    <row r="3916" spans="1:48" x14ac:dyDescent="0.4">
      <c r="A3916">
        <v>2313012849</v>
      </c>
      <c r="B3916">
        <v>2313014080</v>
      </c>
      <c r="C3916" t="str">
        <f>T("디버프 마스터 1232화")</f>
        <v>디버프 마스터 1232화</v>
      </c>
      <c r="D3916" t="str">
        <f>T("1232")</f>
        <v>1232</v>
      </c>
      <c r="E3916" t="str">
        <f t="shared" si="523"/>
        <v>담화공</v>
      </c>
      <c r="H3916" t="str">
        <f t="shared" si="522"/>
        <v>스토리위즈</v>
      </c>
      <c r="I3916" t="str">
        <f t="shared" si="524"/>
        <v>디버프 마스터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>
        <v>70</v>
      </c>
      <c r="AT3916" t="str">
        <f t="shared" si="525"/>
        <v>9791137602663</v>
      </c>
      <c r="AV3916" t="str">
        <f t="shared" si="526"/>
        <v>판타지 웹소설 &gt; 퓨전 판타지</v>
      </c>
    </row>
    <row r="3917" spans="1:48" x14ac:dyDescent="0.4">
      <c r="A3917">
        <v>2313012849</v>
      </c>
      <c r="B3917">
        <v>2313014081</v>
      </c>
      <c r="C3917" t="str">
        <f>T("디버프 마스터 1233화")</f>
        <v>디버프 마스터 1233화</v>
      </c>
      <c r="D3917" t="str">
        <f>T("1233")</f>
        <v>1233</v>
      </c>
      <c r="E3917" t="str">
        <f t="shared" si="523"/>
        <v>담화공</v>
      </c>
      <c r="H3917" t="str">
        <f t="shared" si="522"/>
        <v>스토리위즈</v>
      </c>
      <c r="I3917" t="str">
        <f t="shared" si="524"/>
        <v>디버프 마스터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>
        <v>70</v>
      </c>
      <c r="AT3917" t="str">
        <f t="shared" si="525"/>
        <v>9791137602663</v>
      </c>
      <c r="AV3917" t="str">
        <f t="shared" si="526"/>
        <v>판타지 웹소설 &gt; 퓨전 판타지</v>
      </c>
    </row>
    <row r="3918" spans="1:48" x14ac:dyDescent="0.4">
      <c r="A3918">
        <v>2313012849</v>
      </c>
      <c r="B3918">
        <v>2313014082</v>
      </c>
      <c r="C3918" t="str">
        <f>T("디버프 마스터 1234화")</f>
        <v>디버프 마스터 1234화</v>
      </c>
      <c r="D3918" t="str">
        <f>T("1234")</f>
        <v>1234</v>
      </c>
      <c r="E3918" t="str">
        <f t="shared" si="523"/>
        <v>담화공</v>
      </c>
      <c r="H3918" t="str">
        <f t="shared" si="522"/>
        <v>스토리위즈</v>
      </c>
      <c r="I3918" t="str">
        <f t="shared" si="524"/>
        <v>디버프 마스터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>
        <v>70</v>
      </c>
      <c r="AT3918" t="str">
        <f t="shared" si="525"/>
        <v>9791137602663</v>
      </c>
      <c r="AV3918" t="str">
        <f t="shared" si="526"/>
        <v>판타지 웹소설 &gt; 퓨전 판타지</v>
      </c>
    </row>
    <row r="3919" spans="1:48" x14ac:dyDescent="0.4">
      <c r="A3919">
        <v>2313012849</v>
      </c>
      <c r="B3919">
        <v>2313014083</v>
      </c>
      <c r="C3919" t="str">
        <f>T("디버프 마스터 1235화")</f>
        <v>디버프 마스터 1235화</v>
      </c>
      <c r="D3919" t="str">
        <f>T("1235")</f>
        <v>1235</v>
      </c>
      <c r="E3919" t="str">
        <f t="shared" si="523"/>
        <v>담화공</v>
      </c>
      <c r="H3919" t="str">
        <f t="shared" si="522"/>
        <v>스토리위즈</v>
      </c>
      <c r="I3919" t="str">
        <f t="shared" si="524"/>
        <v>디버프 마스터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>
        <v>70</v>
      </c>
      <c r="AT3919" t="str">
        <f t="shared" si="525"/>
        <v>9791137602663</v>
      </c>
      <c r="AV3919" t="str">
        <f t="shared" si="526"/>
        <v>판타지 웹소설 &gt; 퓨전 판타지</v>
      </c>
    </row>
    <row r="3920" spans="1:48" x14ac:dyDescent="0.4">
      <c r="A3920">
        <v>2313012849</v>
      </c>
      <c r="B3920">
        <v>2313014084</v>
      </c>
      <c r="C3920" t="str">
        <f>T("디버프 마스터 1236화")</f>
        <v>디버프 마스터 1236화</v>
      </c>
      <c r="D3920" t="str">
        <f>T("1236")</f>
        <v>1236</v>
      </c>
      <c r="E3920" t="str">
        <f t="shared" si="523"/>
        <v>담화공</v>
      </c>
      <c r="H3920" t="str">
        <f t="shared" si="522"/>
        <v>스토리위즈</v>
      </c>
      <c r="I3920" t="str">
        <f t="shared" si="524"/>
        <v>디버프 마스터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>
        <v>70</v>
      </c>
      <c r="AT3920" t="str">
        <f t="shared" si="525"/>
        <v>9791137602663</v>
      </c>
      <c r="AV3920" t="str">
        <f t="shared" si="526"/>
        <v>판타지 웹소설 &gt; 퓨전 판타지</v>
      </c>
    </row>
    <row r="3921" spans="1:48" x14ac:dyDescent="0.4">
      <c r="A3921">
        <v>2313012849</v>
      </c>
      <c r="B3921">
        <v>2313014085</v>
      </c>
      <c r="C3921" t="str">
        <f>T("디버프 마스터 1237화")</f>
        <v>디버프 마스터 1237화</v>
      </c>
      <c r="D3921" t="str">
        <f>T("1237")</f>
        <v>1237</v>
      </c>
      <c r="E3921" t="str">
        <f t="shared" si="523"/>
        <v>담화공</v>
      </c>
      <c r="H3921" t="str">
        <f t="shared" si="522"/>
        <v>스토리위즈</v>
      </c>
      <c r="I3921" t="str">
        <f t="shared" si="524"/>
        <v>디버프 마스터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>
        <v>70</v>
      </c>
      <c r="AT3921" t="str">
        <f t="shared" si="525"/>
        <v>9791137602663</v>
      </c>
      <c r="AV3921" t="str">
        <f t="shared" si="526"/>
        <v>판타지 웹소설 &gt; 퓨전 판타지</v>
      </c>
    </row>
    <row r="3922" spans="1:48" x14ac:dyDescent="0.4">
      <c r="A3922">
        <v>2313012849</v>
      </c>
      <c r="B3922">
        <v>2313014086</v>
      </c>
      <c r="C3922" t="str">
        <f>T("디버프 마스터 1238화")</f>
        <v>디버프 마스터 1238화</v>
      </c>
      <c r="D3922" t="str">
        <f>T("1238")</f>
        <v>1238</v>
      </c>
      <c r="E3922" t="str">
        <f t="shared" si="523"/>
        <v>담화공</v>
      </c>
      <c r="H3922" t="str">
        <f t="shared" si="522"/>
        <v>스토리위즈</v>
      </c>
      <c r="I3922" t="str">
        <f t="shared" si="524"/>
        <v>디버프 마스터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>
        <v>70</v>
      </c>
      <c r="AT3922" t="str">
        <f t="shared" si="525"/>
        <v>9791137602663</v>
      </c>
      <c r="AV3922" t="str">
        <f t="shared" si="526"/>
        <v>판타지 웹소설 &gt; 퓨전 판타지</v>
      </c>
    </row>
    <row r="3923" spans="1:48" x14ac:dyDescent="0.4">
      <c r="A3923">
        <v>2313012849</v>
      </c>
      <c r="B3923">
        <v>2313014087</v>
      </c>
      <c r="C3923" t="str">
        <f>T("디버프 마스터 1239화")</f>
        <v>디버프 마스터 1239화</v>
      </c>
      <c r="D3923" t="str">
        <f>T("1239")</f>
        <v>1239</v>
      </c>
      <c r="E3923" t="str">
        <f t="shared" si="523"/>
        <v>담화공</v>
      </c>
      <c r="H3923" t="str">
        <f t="shared" si="522"/>
        <v>스토리위즈</v>
      </c>
      <c r="I3923" t="str">
        <f t="shared" si="524"/>
        <v>디버프 마스터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>
        <v>70</v>
      </c>
      <c r="AT3923" t="str">
        <f t="shared" si="525"/>
        <v>9791137602663</v>
      </c>
      <c r="AV3923" t="str">
        <f t="shared" si="526"/>
        <v>판타지 웹소설 &gt; 퓨전 판타지</v>
      </c>
    </row>
    <row r="3924" spans="1:48" x14ac:dyDescent="0.4">
      <c r="A3924">
        <v>2313012849</v>
      </c>
      <c r="B3924">
        <v>2313014088</v>
      </c>
      <c r="C3924" t="str">
        <f>T("디버프 마스터 1240화")</f>
        <v>디버프 마스터 1240화</v>
      </c>
      <c r="D3924" t="str">
        <f>T("1240")</f>
        <v>1240</v>
      </c>
      <c r="E3924" t="str">
        <f t="shared" si="523"/>
        <v>담화공</v>
      </c>
      <c r="H3924" t="str">
        <f t="shared" si="522"/>
        <v>스토리위즈</v>
      </c>
      <c r="I3924" t="str">
        <f t="shared" si="524"/>
        <v>디버프 마스터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>
        <v>70</v>
      </c>
      <c r="AT3924" t="str">
        <f t="shared" si="525"/>
        <v>9791137602663</v>
      </c>
      <c r="AV3924" t="str">
        <f t="shared" si="526"/>
        <v>판타지 웹소설 &gt; 퓨전 판타지</v>
      </c>
    </row>
    <row r="3925" spans="1:48" x14ac:dyDescent="0.4">
      <c r="A3925">
        <v>2313012849</v>
      </c>
      <c r="B3925">
        <v>2313014089</v>
      </c>
      <c r="C3925" t="str">
        <f>T("디버프 마스터 1241화")</f>
        <v>디버프 마스터 1241화</v>
      </c>
      <c r="D3925" t="str">
        <f>T("1241")</f>
        <v>1241</v>
      </c>
      <c r="E3925" t="str">
        <f t="shared" si="523"/>
        <v>담화공</v>
      </c>
      <c r="H3925" t="str">
        <f t="shared" si="522"/>
        <v>스토리위즈</v>
      </c>
      <c r="I3925" t="str">
        <f t="shared" si="524"/>
        <v>디버프 마스터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>
        <v>70</v>
      </c>
      <c r="AT3925" t="str">
        <f t="shared" si="525"/>
        <v>9791137602663</v>
      </c>
      <c r="AV3925" t="str">
        <f t="shared" si="526"/>
        <v>판타지 웹소설 &gt; 퓨전 판타지</v>
      </c>
    </row>
    <row r="3926" spans="1:48" x14ac:dyDescent="0.4">
      <c r="A3926">
        <v>2313012849</v>
      </c>
      <c r="B3926">
        <v>2313014090</v>
      </c>
      <c r="C3926" t="str">
        <f>T("디버프 마스터 1242화")</f>
        <v>디버프 마스터 1242화</v>
      </c>
      <c r="D3926" t="str">
        <f>T("1242")</f>
        <v>1242</v>
      </c>
      <c r="E3926" t="str">
        <f t="shared" si="523"/>
        <v>담화공</v>
      </c>
      <c r="H3926" t="str">
        <f t="shared" si="522"/>
        <v>스토리위즈</v>
      </c>
      <c r="I3926" t="str">
        <f t="shared" si="524"/>
        <v>디버프 마스터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>
        <v>70</v>
      </c>
      <c r="AT3926" t="str">
        <f t="shared" si="525"/>
        <v>9791137602663</v>
      </c>
      <c r="AV3926" t="str">
        <f t="shared" si="526"/>
        <v>판타지 웹소설 &gt; 퓨전 판타지</v>
      </c>
    </row>
    <row r="3927" spans="1:48" x14ac:dyDescent="0.4">
      <c r="A3927">
        <v>2313012849</v>
      </c>
      <c r="B3927">
        <v>2313014091</v>
      </c>
      <c r="C3927" t="str">
        <f>T("디버프 마스터 1243화")</f>
        <v>디버프 마스터 1243화</v>
      </c>
      <c r="D3927" t="str">
        <f>T("1243")</f>
        <v>1243</v>
      </c>
      <c r="E3927" t="str">
        <f t="shared" si="523"/>
        <v>담화공</v>
      </c>
      <c r="H3927" t="str">
        <f t="shared" si="522"/>
        <v>스토리위즈</v>
      </c>
      <c r="I3927" t="str">
        <f t="shared" si="524"/>
        <v>디버프 마스터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>
        <v>70</v>
      </c>
      <c r="AT3927" t="str">
        <f t="shared" si="525"/>
        <v>9791137602663</v>
      </c>
      <c r="AV3927" t="str">
        <f t="shared" si="526"/>
        <v>판타지 웹소설 &gt; 퓨전 판타지</v>
      </c>
    </row>
    <row r="3928" spans="1:48" x14ac:dyDescent="0.4">
      <c r="A3928">
        <v>2313012849</v>
      </c>
      <c r="B3928">
        <v>2313014092</v>
      </c>
      <c r="C3928" t="str">
        <f>T("디버프 마스터 1244화")</f>
        <v>디버프 마스터 1244화</v>
      </c>
      <c r="D3928" t="str">
        <f>T("1244")</f>
        <v>1244</v>
      </c>
      <c r="E3928" t="str">
        <f t="shared" si="523"/>
        <v>담화공</v>
      </c>
      <c r="H3928" t="str">
        <f t="shared" si="522"/>
        <v>스토리위즈</v>
      </c>
      <c r="I3928" t="str">
        <f t="shared" si="524"/>
        <v>디버프 마스터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>
        <v>70</v>
      </c>
      <c r="AT3928" t="str">
        <f t="shared" si="525"/>
        <v>9791137602663</v>
      </c>
      <c r="AV3928" t="str">
        <f t="shared" si="526"/>
        <v>판타지 웹소설 &gt; 퓨전 판타지</v>
      </c>
    </row>
    <row r="3929" spans="1:48" x14ac:dyDescent="0.4">
      <c r="A3929">
        <v>2313012849</v>
      </c>
      <c r="B3929">
        <v>2313014093</v>
      </c>
      <c r="C3929" t="str">
        <f>T("디버프 마스터 1245화")</f>
        <v>디버프 마스터 1245화</v>
      </c>
      <c r="D3929" t="str">
        <f>T("1245")</f>
        <v>1245</v>
      </c>
      <c r="E3929" t="str">
        <f t="shared" si="523"/>
        <v>담화공</v>
      </c>
      <c r="H3929" t="str">
        <f t="shared" si="522"/>
        <v>스토리위즈</v>
      </c>
      <c r="I3929" t="str">
        <f t="shared" si="524"/>
        <v>디버프 마스터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>
        <v>70</v>
      </c>
      <c r="AT3929" t="str">
        <f t="shared" si="525"/>
        <v>9791137602663</v>
      </c>
      <c r="AV3929" t="str">
        <f t="shared" si="526"/>
        <v>판타지 웹소설 &gt; 퓨전 판타지</v>
      </c>
    </row>
    <row r="3930" spans="1:48" x14ac:dyDescent="0.4">
      <c r="A3930">
        <v>2313012849</v>
      </c>
      <c r="B3930">
        <v>2313014094</v>
      </c>
      <c r="C3930" t="str">
        <f>T("디버프 마스터 1246화")</f>
        <v>디버프 마스터 1246화</v>
      </c>
      <c r="D3930" t="str">
        <f>T("1246")</f>
        <v>1246</v>
      </c>
      <c r="E3930" t="str">
        <f t="shared" si="523"/>
        <v>담화공</v>
      </c>
      <c r="H3930" t="str">
        <f t="shared" si="522"/>
        <v>스토리위즈</v>
      </c>
      <c r="I3930" t="str">
        <f t="shared" si="524"/>
        <v>디버프 마스터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>
        <v>70</v>
      </c>
      <c r="AT3930" t="str">
        <f t="shared" si="525"/>
        <v>9791137602663</v>
      </c>
      <c r="AV3930" t="str">
        <f t="shared" si="526"/>
        <v>판타지 웹소설 &gt; 퓨전 판타지</v>
      </c>
    </row>
    <row r="3931" spans="1:48" x14ac:dyDescent="0.4">
      <c r="A3931">
        <v>2313012849</v>
      </c>
      <c r="B3931">
        <v>2313014095</v>
      </c>
      <c r="C3931" t="str">
        <f>T("디버프 마스터 1247화")</f>
        <v>디버프 마스터 1247화</v>
      </c>
      <c r="D3931" t="str">
        <f>T("1247")</f>
        <v>1247</v>
      </c>
      <c r="E3931" t="str">
        <f t="shared" si="523"/>
        <v>담화공</v>
      </c>
      <c r="H3931" t="str">
        <f t="shared" si="522"/>
        <v>스토리위즈</v>
      </c>
      <c r="I3931" t="str">
        <f t="shared" si="524"/>
        <v>디버프 마스터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>
        <v>70</v>
      </c>
      <c r="AT3931" t="str">
        <f t="shared" si="525"/>
        <v>9791137602663</v>
      </c>
      <c r="AV3931" t="str">
        <f t="shared" si="526"/>
        <v>판타지 웹소설 &gt; 퓨전 판타지</v>
      </c>
    </row>
    <row r="3932" spans="1:48" x14ac:dyDescent="0.4">
      <c r="A3932">
        <v>2313012849</v>
      </c>
      <c r="B3932">
        <v>2313014096</v>
      </c>
      <c r="C3932" t="str">
        <f>T("디버프 마스터 1248화")</f>
        <v>디버프 마스터 1248화</v>
      </c>
      <c r="D3932" t="str">
        <f>T("1248")</f>
        <v>1248</v>
      </c>
      <c r="E3932" t="str">
        <f t="shared" si="523"/>
        <v>담화공</v>
      </c>
      <c r="H3932" t="str">
        <f t="shared" si="522"/>
        <v>스토리위즈</v>
      </c>
      <c r="I3932" t="str">
        <f t="shared" si="524"/>
        <v>디버프 마스터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>
        <v>70</v>
      </c>
      <c r="AT3932" t="str">
        <f t="shared" si="525"/>
        <v>9791137602663</v>
      </c>
      <c r="AV3932" t="str">
        <f t="shared" si="526"/>
        <v>판타지 웹소설 &gt; 퓨전 판타지</v>
      </c>
    </row>
    <row r="3933" spans="1:48" x14ac:dyDescent="0.4">
      <c r="A3933">
        <v>2313012849</v>
      </c>
      <c r="B3933">
        <v>2313014097</v>
      </c>
      <c r="C3933" t="str">
        <f>T("디버프 마스터 1249화")</f>
        <v>디버프 마스터 1249화</v>
      </c>
      <c r="D3933" t="str">
        <f>T("1249")</f>
        <v>1249</v>
      </c>
      <c r="E3933" t="str">
        <f t="shared" si="523"/>
        <v>담화공</v>
      </c>
      <c r="H3933" t="str">
        <f t="shared" si="522"/>
        <v>스토리위즈</v>
      </c>
      <c r="I3933" t="str">
        <f t="shared" si="524"/>
        <v>디버프 마스터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>
        <v>70</v>
      </c>
      <c r="AT3933" t="str">
        <f t="shared" si="525"/>
        <v>9791137602663</v>
      </c>
      <c r="AV3933" t="str">
        <f t="shared" si="526"/>
        <v>판타지 웹소설 &gt; 퓨전 판타지</v>
      </c>
    </row>
    <row r="3934" spans="1:48" x14ac:dyDescent="0.4">
      <c r="A3934">
        <v>2313012849</v>
      </c>
      <c r="B3934">
        <v>2313014098</v>
      </c>
      <c r="C3934" t="str">
        <f>T("디버프 마스터 1250화")</f>
        <v>디버프 마스터 1250화</v>
      </c>
      <c r="D3934" t="str">
        <f>T("1250")</f>
        <v>1250</v>
      </c>
      <c r="E3934" t="str">
        <f t="shared" si="523"/>
        <v>담화공</v>
      </c>
      <c r="H3934" t="str">
        <f t="shared" si="522"/>
        <v>스토리위즈</v>
      </c>
      <c r="I3934" t="str">
        <f t="shared" si="524"/>
        <v>디버프 마스터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>
        <v>70</v>
      </c>
      <c r="AT3934" t="str">
        <f t="shared" si="525"/>
        <v>9791137602663</v>
      </c>
      <c r="AV3934" t="str">
        <f t="shared" si="526"/>
        <v>판타지 웹소설 &gt; 퓨전 판타지</v>
      </c>
    </row>
    <row r="3935" spans="1:48" x14ac:dyDescent="0.4">
      <c r="A3935">
        <v>2313012849</v>
      </c>
      <c r="B3935">
        <v>2313014099</v>
      </c>
      <c r="C3935" t="str">
        <f>T("디버프 마스터 1251화")</f>
        <v>디버프 마스터 1251화</v>
      </c>
      <c r="D3935" t="str">
        <f>T("1251")</f>
        <v>1251</v>
      </c>
      <c r="E3935" t="str">
        <f t="shared" si="523"/>
        <v>담화공</v>
      </c>
      <c r="H3935" t="str">
        <f t="shared" si="522"/>
        <v>스토리위즈</v>
      </c>
      <c r="I3935" t="str">
        <f t="shared" si="524"/>
        <v>디버프 마스터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>
        <v>70</v>
      </c>
      <c r="AT3935" t="str">
        <f t="shared" si="525"/>
        <v>9791137602663</v>
      </c>
      <c r="AV3935" t="str">
        <f t="shared" si="526"/>
        <v>판타지 웹소설 &gt; 퓨전 판타지</v>
      </c>
    </row>
    <row r="3936" spans="1:48" x14ac:dyDescent="0.4">
      <c r="A3936">
        <v>2313012849</v>
      </c>
      <c r="B3936">
        <v>2313014100</v>
      </c>
      <c r="C3936" t="str">
        <f>T("디버프 마스터 1252화")</f>
        <v>디버프 마스터 1252화</v>
      </c>
      <c r="D3936" t="str">
        <f>T("1252")</f>
        <v>1252</v>
      </c>
      <c r="E3936" t="str">
        <f t="shared" si="523"/>
        <v>담화공</v>
      </c>
      <c r="H3936" t="str">
        <f t="shared" si="522"/>
        <v>스토리위즈</v>
      </c>
      <c r="I3936" t="str">
        <f t="shared" si="524"/>
        <v>디버프 마스터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>
        <v>70</v>
      </c>
      <c r="AT3936" t="str">
        <f t="shared" si="525"/>
        <v>9791137602663</v>
      </c>
      <c r="AV3936" t="str">
        <f t="shared" si="526"/>
        <v>판타지 웹소설 &gt; 퓨전 판타지</v>
      </c>
    </row>
    <row r="3937" spans="1:48" x14ac:dyDescent="0.4">
      <c r="A3937">
        <v>2313012849</v>
      </c>
      <c r="B3937">
        <v>2313014101</v>
      </c>
      <c r="C3937" t="str">
        <f>T("디버프 마스터 1253화")</f>
        <v>디버프 마스터 1253화</v>
      </c>
      <c r="D3937" t="str">
        <f>T("1253")</f>
        <v>1253</v>
      </c>
      <c r="E3937" t="str">
        <f t="shared" si="523"/>
        <v>담화공</v>
      </c>
      <c r="H3937" t="str">
        <f t="shared" si="522"/>
        <v>스토리위즈</v>
      </c>
      <c r="I3937" t="str">
        <f t="shared" si="524"/>
        <v>디버프 마스터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>
        <v>70</v>
      </c>
      <c r="AT3937" t="str">
        <f t="shared" si="525"/>
        <v>9791137602663</v>
      </c>
      <c r="AV3937" t="str">
        <f t="shared" si="526"/>
        <v>판타지 웹소설 &gt; 퓨전 판타지</v>
      </c>
    </row>
    <row r="3938" spans="1:48" x14ac:dyDescent="0.4">
      <c r="A3938">
        <v>2313012849</v>
      </c>
      <c r="B3938">
        <v>2313014102</v>
      </c>
      <c r="C3938" t="str">
        <f>T("디버프 마스터 1254화")</f>
        <v>디버프 마스터 1254화</v>
      </c>
      <c r="D3938" t="str">
        <f>T("1254")</f>
        <v>1254</v>
      </c>
      <c r="E3938" t="str">
        <f t="shared" si="523"/>
        <v>담화공</v>
      </c>
      <c r="H3938" t="str">
        <f t="shared" si="522"/>
        <v>스토리위즈</v>
      </c>
      <c r="I3938" t="str">
        <f t="shared" si="524"/>
        <v>디버프 마스터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>
        <v>70</v>
      </c>
      <c r="AT3938" t="str">
        <f t="shared" si="525"/>
        <v>9791137602663</v>
      </c>
      <c r="AV3938" t="str">
        <f t="shared" si="526"/>
        <v>판타지 웹소설 &gt; 퓨전 판타지</v>
      </c>
    </row>
    <row r="3939" spans="1:48" x14ac:dyDescent="0.4">
      <c r="A3939">
        <v>2313012849</v>
      </c>
      <c r="B3939">
        <v>2313014103</v>
      </c>
      <c r="C3939" t="str">
        <f>T("디버프 마스터 1255화")</f>
        <v>디버프 마스터 1255화</v>
      </c>
      <c r="D3939" t="str">
        <f>T("1255")</f>
        <v>1255</v>
      </c>
      <c r="E3939" t="str">
        <f t="shared" si="523"/>
        <v>담화공</v>
      </c>
      <c r="H3939" t="str">
        <f t="shared" si="522"/>
        <v>스토리위즈</v>
      </c>
      <c r="I3939" t="str">
        <f t="shared" si="524"/>
        <v>디버프 마스터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>
        <v>70</v>
      </c>
      <c r="AT3939" t="str">
        <f t="shared" si="525"/>
        <v>9791137602663</v>
      </c>
      <c r="AV3939" t="str">
        <f t="shared" si="526"/>
        <v>판타지 웹소설 &gt; 퓨전 판타지</v>
      </c>
    </row>
    <row r="3940" spans="1:48" x14ac:dyDescent="0.4">
      <c r="A3940">
        <v>2313012849</v>
      </c>
      <c r="B3940">
        <v>2313014104</v>
      </c>
      <c r="C3940" t="str">
        <f>T("디버프 마스터 1256화")</f>
        <v>디버프 마스터 1256화</v>
      </c>
      <c r="D3940" t="str">
        <f>T("1256")</f>
        <v>1256</v>
      </c>
      <c r="E3940" t="str">
        <f t="shared" si="523"/>
        <v>담화공</v>
      </c>
      <c r="H3940" t="str">
        <f t="shared" si="522"/>
        <v>스토리위즈</v>
      </c>
      <c r="I3940" t="str">
        <f t="shared" si="524"/>
        <v>디버프 마스터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>
        <v>70</v>
      </c>
      <c r="AT3940" t="str">
        <f t="shared" si="525"/>
        <v>9791137602663</v>
      </c>
      <c r="AV3940" t="str">
        <f t="shared" si="526"/>
        <v>판타지 웹소설 &gt; 퓨전 판타지</v>
      </c>
    </row>
    <row r="3941" spans="1:48" x14ac:dyDescent="0.4">
      <c r="A3941">
        <v>2313012849</v>
      </c>
      <c r="B3941">
        <v>2313014105</v>
      </c>
      <c r="C3941" t="str">
        <f>T("디버프 마스터 1257화")</f>
        <v>디버프 마스터 1257화</v>
      </c>
      <c r="D3941" t="str">
        <f>T("1257")</f>
        <v>1257</v>
      </c>
      <c r="E3941" t="str">
        <f t="shared" si="523"/>
        <v>담화공</v>
      </c>
      <c r="H3941" t="str">
        <f t="shared" si="522"/>
        <v>스토리위즈</v>
      </c>
      <c r="I3941" t="str">
        <f t="shared" si="524"/>
        <v>디버프 마스터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>
        <v>70</v>
      </c>
      <c r="AT3941" t="str">
        <f t="shared" si="525"/>
        <v>9791137602663</v>
      </c>
      <c r="AV3941" t="str">
        <f t="shared" si="526"/>
        <v>판타지 웹소설 &gt; 퓨전 판타지</v>
      </c>
    </row>
    <row r="3942" spans="1:48" x14ac:dyDescent="0.4">
      <c r="A3942">
        <v>2313012849</v>
      </c>
      <c r="B3942">
        <v>2313014106</v>
      </c>
      <c r="C3942" t="str">
        <f>T("디버프 마스터 1258화")</f>
        <v>디버프 마스터 1258화</v>
      </c>
      <c r="D3942" t="str">
        <f>T("1258")</f>
        <v>1258</v>
      </c>
      <c r="E3942" t="str">
        <f t="shared" si="523"/>
        <v>담화공</v>
      </c>
      <c r="H3942" t="str">
        <f t="shared" si="522"/>
        <v>스토리위즈</v>
      </c>
      <c r="I3942" t="str">
        <f t="shared" si="524"/>
        <v>디버프 마스터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>
        <v>70</v>
      </c>
      <c r="AT3942" t="str">
        <f t="shared" si="525"/>
        <v>9791137602663</v>
      </c>
      <c r="AV3942" t="str">
        <f t="shared" si="526"/>
        <v>판타지 웹소설 &gt; 퓨전 판타지</v>
      </c>
    </row>
    <row r="3943" spans="1:48" x14ac:dyDescent="0.4">
      <c r="A3943">
        <v>2313012849</v>
      </c>
      <c r="B3943">
        <v>2313014107</v>
      </c>
      <c r="C3943" t="str">
        <f>T("디버프 마스터 1259화")</f>
        <v>디버프 마스터 1259화</v>
      </c>
      <c r="D3943" t="str">
        <f>T("1259")</f>
        <v>1259</v>
      </c>
      <c r="E3943" t="str">
        <f t="shared" si="523"/>
        <v>담화공</v>
      </c>
      <c r="H3943" t="str">
        <f t="shared" si="522"/>
        <v>스토리위즈</v>
      </c>
      <c r="I3943" t="str">
        <f t="shared" si="524"/>
        <v>디버프 마스터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>
        <v>70</v>
      </c>
      <c r="AT3943" t="str">
        <f t="shared" si="525"/>
        <v>9791137602663</v>
      </c>
      <c r="AV3943" t="str">
        <f t="shared" si="526"/>
        <v>판타지 웹소설 &gt; 퓨전 판타지</v>
      </c>
    </row>
    <row r="3944" spans="1:48" x14ac:dyDescent="0.4">
      <c r="A3944">
        <v>2313012849</v>
      </c>
      <c r="B3944">
        <v>2313014108</v>
      </c>
      <c r="C3944" t="str">
        <f>T("디버프 마스터 1260화")</f>
        <v>디버프 마스터 1260화</v>
      </c>
      <c r="D3944" t="str">
        <f>T("1260")</f>
        <v>1260</v>
      </c>
      <c r="E3944" t="str">
        <f t="shared" si="523"/>
        <v>담화공</v>
      </c>
      <c r="H3944" t="str">
        <f t="shared" si="522"/>
        <v>스토리위즈</v>
      </c>
      <c r="I3944" t="str">
        <f t="shared" si="524"/>
        <v>디버프 마스터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>
        <v>70</v>
      </c>
      <c r="AT3944" t="str">
        <f t="shared" si="525"/>
        <v>9791137602663</v>
      </c>
      <c r="AV3944" t="str">
        <f t="shared" si="526"/>
        <v>판타지 웹소설 &gt; 퓨전 판타지</v>
      </c>
    </row>
    <row r="3945" spans="1:48" x14ac:dyDescent="0.4">
      <c r="A3945">
        <v>2313012849</v>
      </c>
      <c r="B3945">
        <v>2313014109</v>
      </c>
      <c r="C3945" t="str">
        <f>T("디버프 마스터 1261화")</f>
        <v>디버프 마스터 1261화</v>
      </c>
      <c r="D3945" t="str">
        <f>T("1261")</f>
        <v>1261</v>
      </c>
      <c r="E3945" t="str">
        <f t="shared" si="523"/>
        <v>담화공</v>
      </c>
      <c r="H3945" t="str">
        <f t="shared" si="522"/>
        <v>스토리위즈</v>
      </c>
      <c r="I3945" t="str">
        <f t="shared" si="524"/>
        <v>디버프 마스터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>
        <v>70</v>
      </c>
      <c r="AT3945" t="str">
        <f t="shared" si="525"/>
        <v>9791137602663</v>
      </c>
      <c r="AV3945" t="str">
        <f t="shared" si="526"/>
        <v>판타지 웹소설 &gt; 퓨전 판타지</v>
      </c>
    </row>
    <row r="3946" spans="1:48" x14ac:dyDescent="0.4">
      <c r="A3946">
        <v>2313012849</v>
      </c>
      <c r="B3946">
        <v>2313014110</v>
      </c>
      <c r="C3946" t="str">
        <f>T("디버프 마스터 1262화")</f>
        <v>디버프 마스터 1262화</v>
      </c>
      <c r="D3946" t="str">
        <f>T("1262")</f>
        <v>1262</v>
      </c>
      <c r="E3946" t="str">
        <f t="shared" si="523"/>
        <v>담화공</v>
      </c>
      <c r="H3946" t="str">
        <f t="shared" si="522"/>
        <v>스토리위즈</v>
      </c>
      <c r="I3946" t="str">
        <f t="shared" si="524"/>
        <v>디버프 마스터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>
        <v>70</v>
      </c>
      <c r="AT3946" t="str">
        <f t="shared" si="525"/>
        <v>9791137602663</v>
      </c>
      <c r="AV3946" t="str">
        <f t="shared" si="526"/>
        <v>판타지 웹소설 &gt; 퓨전 판타지</v>
      </c>
    </row>
    <row r="3947" spans="1:48" x14ac:dyDescent="0.4">
      <c r="A3947">
        <v>2313012849</v>
      </c>
      <c r="B3947">
        <v>2313014111</v>
      </c>
      <c r="C3947" t="str">
        <f>T("디버프 마스터 1263화")</f>
        <v>디버프 마스터 1263화</v>
      </c>
      <c r="D3947" t="str">
        <f>T("1263")</f>
        <v>1263</v>
      </c>
      <c r="E3947" t="str">
        <f t="shared" si="523"/>
        <v>담화공</v>
      </c>
      <c r="H3947" t="str">
        <f t="shared" si="522"/>
        <v>스토리위즈</v>
      </c>
      <c r="I3947" t="str">
        <f t="shared" si="524"/>
        <v>디버프 마스터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>
        <v>70</v>
      </c>
      <c r="AT3947" t="str">
        <f t="shared" si="525"/>
        <v>9791137602663</v>
      </c>
      <c r="AV3947" t="str">
        <f t="shared" si="526"/>
        <v>판타지 웹소설 &gt; 퓨전 판타지</v>
      </c>
    </row>
    <row r="3948" spans="1:48" x14ac:dyDescent="0.4">
      <c r="A3948">
        <v>2313012849</v>
      </c>
      <c r="B3948">
        <v>2313014112</v>
      </c>
      <c r="C3948" t="str">
        <f>T("디버프 마스터 1264화")</f>
        <v>디버프 마스터 1264화</v>
      </c>
      <c r="D3948" t="str">
        <f>T("1264")</f>
        <v>1264</v>
      </c>
      <c r="E3948" t="str">
        <f t="shared" si="523"/>
        <v>담화공</v>
      </c>
      <c r="H3948" t="str">
        <f t="shared" si="522"/>
        <v>스토리위즈</v>
      </c>
      <c r="I3948" t="str">
        <f t="shared" si="524"/>
        <v>디버프 마스터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>
        <v>70</v>
      </c>
      <c r="AT3948" t="str">
        <f t="shared" si="525"/>
        <v>9791137602663</v>
      </c>
      <c r="AV3948" t="str">
        <f t="shared" si="526"/>
        <v>판타지 웹소설 &gt; 퓨전 판타지</v>
      </c>
    </row>
    <row r="3949" spans="1:48" x14ac:dyDescent="0.4">
      <c r="A3949">
        <v>2313012849</v>
      </c>
      <c r="B3949">
        <v>2313014113</v>
      </c>
      <c r="C3949" t="str">
        <f>T("디버프 마스터 1265화")</f>
        <v>디버프 마스터 1265화</v>
      </c>
      <c r="D3949" t="str">
        <f>T("1265")</f>
        <v>1265</v>
      </c>
      <c r="E3949" t="str">
        <f t="shared" si="523"/>
        <v>담화공</v>
      </c>
      <c r="H3949" t="str">
        <f t="shared" si="522"/>
        <v>스토리위즈</v>
      </c>
      <c r="I3949" t="str">
        <f t="shared" si="524"/>
        <v>디버프 마스터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>
        <v>70</v>
      </c>
      <c r="AT3949" t="str">
        <f t="shared" si="525"/>
        <v>9791137602663</v>
      </c>
      <c r="AV3949" t="str">
        <f t="shared" si="526"/>
        <v>판타지 웹소설 &gt; 퓨전 판타지</v>
      </c>
    </row>
    <row r="3950" spans="1:48" x14ac:dyDescent="0.4">
      <c r="A3950">
        <v>2313012849</v>
      </c>
      <c r="B3950">
        <v>2313014114</v>
      </c>
      <c r="C3950" t="str">
        <f>T("디버프 마스터 1266화")</f>
        <v>디버프 마스터 1266화</v>
      </c>
      <c r="D3950" t="str">
        <f>T("1266")</f>
        <v>1266</v>
      </c>
      <c r="E3950" t="str">
        <f t="shared" si="523"/>
        <v>담화공</v>
      </c>
      <c r="H3950" t="str">
        <f t="shared" si="522"/>
        <v>스토리위즈</v>
      </c>
      <c r="I3950" t="str">
        <f t="shared" si="524"/>
        <v>디버프 마스터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>
        <v>70</v>
      </c>
      <c r="AT3950" t="str">
        <f t="shared" si="525"/>
        <v>9791137602663</v>
      </c>
      <c r="AV3950" t="str">
        <f t="shared" si="526"/>
        <v>판타지 웹소설 &gt; 퓨전 판타지</v>
      </c>
    </row>
    <row r="3951" spans="1:48" x14ac:dyDescent="0.4">
      <c r="A3951">
        <v>2313012849</v>
      </c>
      <c r="B3951">
        <v>2313014115</v>
      </c>
      <c r="C3951" t="str">
        <f>T("디버프 마스터 1267화")</f>
        <v>디버프 마스터 1267화</v>
      </c>
      <c r="D3951" t="str">
        <f>T("1267")</f>
        <v>1267</v>
      </c>
      <c r="E3951" t="str">
        <f t="shared" si="523"/>
        <v>담화공</v>
      </c>
      <c r="H3951" t="str">
        <f t="shared" si="522"/>
        <v>스토리위즈</v>
      </c>
      <c r="I3951" t="str">
        <f t="shared" si="524"/>
        <v>디버프 마스터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>
        <v>70</v>
      </c>
      <c r="AT3951" t="str">
        <f t="shared" si="525"/>
        <v>9791137602663</v>
      </c>
      <c r="AV3951" t="str">
        <f t="shared" si="526"/>
        <v>판타지 웹소설 &gt; 퓨전 판타지</v>
      </c>
    </row>
    <row r="3952" spans="1:48" x14ac:dyDescent="0.4">
      <c r="A3952">
        <v>2313012849</v>
      </c>
      <c r="B3952">
        <v>2313014116</v>
      </c>
      <c r="C3952" t="str">
        <f>T("디버프 마스터 1268화")</f>
        <v>디버프 마스터 1268화</v>
      </c>
      <c r="D3952" t="str">
        <f>T("1268")</f>
        <v>1268</v>
      </c>
      <c r="E3952" t="str">
        <f t="shared" si="523"/>
        <v>담화공</v>
      </c>
      <c r="H3952" t="str">
        <f t="shared" si="522"/>
        <v>스토리위즈</v>
      </c>
      <c r="I3952" t="str">
        <f t="shared" si="524"/>
        <v>디버프 마스터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>
        <v>70</v>
      </c>
      <c r="AT3952" t="str">
        <f t="shared" si="525"/>
        <v>9791137602663</v>
      </c>
      <c r="AV3952" t="str">
        <f t="shared" si="526"/>
        <v>판타지 웹소설 &gt; 퓨전 판타지</v>
      </c>
    </row>
    <row r="3953" spans="1:48" x14ac:dyDescent="0.4">
      <c r="A3953">
        <v>2313012849</v>
      </c>
      <c r="B3953">
        <v>2313014117</v>
      </c>
      <c r="C3953" t="str">
        <f>T("디버프 마스터 1269화")</f>
        <v>디버프 마스터 1269화</v>
      </c>
      <c r="D3953" t="str">
        <f>T("1269")</f>
        <v>1269</v>
      </c>
      <c r="E3953" t="str">
        <f t="shared" si="523"/>
        <v>담화공</v>
      </c>
      <c r="H3953" t="str">
        <f t="shared" si="522"/>
        <v>스토리위즈</v>
      </c>
      <c r="I3953" t="str">
        <f t="shared" si="524"/>
        <v>디버프 마스터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>
        <v>70</v>
      </c>
      <c r="AT3953" t="str">
        <f t="shared" si="525"/>
        <v>9791137602663</v>
      </c>
      <c r="AV3953" t="str">
        <f t="shared" si="526"/>
        <v>판타지 웹소설 &gt; 퓨전 판타지</v>
      </c>
    </row>
    <row r="3954" spans="1:48" x14ac:dyDescent="0.4">
      <c r="A3954">
        <v>2313012849</v>
      </c>
      <c r="B3954">
        <v>2313014118</v>
      </c>
      <c r="C3954" t="str">
        <f>T("디버프 마스터 1270화")</f>
        <v>디버프 마스터 1270화</v>
      </c>
      <c r="D3954" t="str">
        <f>T("1270")</f>
        <v>1270</v>
      </c>
      <c r="E3954" t="str">
        <f t="shared" si="523"/>
        <v>담화공</v>
      </c>
      <c r="H3954" t="str">
        <f t="shared" si="522"/>
        <v>스토리위즈</v>
      </c>
      <c r="I3954" t="str">
        <f t="shared" si="524"/>
        <v>디버프 마스터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>
        <v>70</v>
      </c>
      <c r="AT3954" t="str">
        <f t="shared" si="525"/>
        <v>9791137602663</v>
      </c>
      <c r="AV3954" t="str">
        <f t="shared" si="526"/>
        <v>판타지 웹소설 &gt; 퓨전 판타지</v>
      </c>
    </row>
    <row r="3955" spans="1:48" x14ac:dyDescent="0.4">
      <c r="A3955">
        <v>2313012849</v>
      </c>
      <c r="B3955">
        <v>2313014119</v>
      </c>
      <c r="C3955" t="str">
        <f>T("디버프 마스터 1271화")</f>
        <v>디버프 마스터 1271화</v>
      </c>
      <c r="D3955" t="str">
        <f>T("1271")</f>
        <v>1271</v>
      </c>
      <c r="E3955" t="str">
        <f t="shared" si="523"/>
        <v>담화공</v>
      </c>
      <c r="H3955" t="str">
        <f t="shared" si="522"/>
        <v>스토리위즈</v>
      </c>
      <c r="I3955" t="str">
        <f t="shared" si="524"/>
        <v>디버프 마스터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>
        <v>70</v>
      </c>
      <c r="AT3955" t="str">
        <f t="shared" si="525"/>
        <v>9791137602663</v>
      </c>
      <c r="AV3955" t="str">
        <f t="shared" si="526"/>
        <v>판타지 웹소설 &gt; 퓨전 판타지</v>
      </c>
    </row>
    <row r="3956" spans="1:48" x14ac:dyDescent="0.4">
      <c r="A3956">
        <v>2313012849</v>
      </c>
      <c r="B3956">
        <v>2313014120</v>
      </c>
      <c r="C3956" t="str">
        <f>T("디버프 마스터 1272화")</f>
        <v>디버프 마스터 1272화</v>
      </c>
      <c r="D3956" t="str">
        <f>T("1272")</f>
        <v>1272</v>
      </c>
      <c r="E3956" t="str">
        <f t="shared" si="523"/>
        <v>담화공</v>
      </c>
      <c r="H3956" t="str">
        <f t="shared" si="522"/>
        <v>스토리위즈</v>
      </c>
      <c r="I3956" t="str">
        <f t="shared" si="524"/>
        <v>디버프 마스터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>
        <v>70</v>
      </c>
      <c r="AT3956" t="str">
        <f t="shared" si="525"/>
        <v>9791137602663</v>
      </c>
      <c r="AV3956" t="str">
        <f t="shared" si="526"/>
        <v>판타지 웹소설 &gt; 퓨전 판타지</v>
      </c>
    </row>
    <row r="3957" spans="1:48" x14ac:dyDescent="0.4">
      <c r="A3957">
        <v>2313012849</v>
      </c>
      <c r="B3957">
        <v>2313014121</v>
      </c>
      <c r="C3957" t="str">
        <f>T("디버프 마스터 1273화")</f>
        <v>디버프 마스터 1273화</v>
      </c>
      <c r="D3957" t="str">
        <f>T("1273")</f>
        <v>1273</v>
      </c>
      <c r="E3957" t="str">
        <f t="shared" si="523"/>
        <v>담화공</v>
      </c>
      <c r="H3957" t="str">
        <f t="shared" si="522"/>
        <v>스토리위즈</v>
      </c>
      <c r="I3957" t="str">
        <f t="shared" si="524"/>
        <v>디버프 마스터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>
        <v>70</v>
      </c>
      <c r="AT3957" t="str">
        <f t="shared" si="525"/>
        <v>9791137602663</v>
      </c>
      <c r="AV3957" t="str">
        <f t="shared" si="526"/>
        <v>판타지 웹소설 &gt; 퓨전 판타지</v>
      </c>
    </row>
    <row r="3958" spans="1:48" x14ac:dyDescent="0.4">
      <c r="A3958">
        <v>2313012849</v>
      </c>
      <c r="B3958">
        <v>2313014122</v>
      </c>
      <c r="C3958" t="str">
        <f>T("디버프 마스터 1274화")</f>
        <v>디버프 마스터 1274화</v>
      </c>
      <c r="D3958" t="str">
        <f>T("1274")</f>
        <v>1274</v>
      </c>
      <c r="E3958" t="str">
        <f t="shared" si="523"/>
        <v>담화공</v>
      </c>
      <c r="H3958" t="str">
        <f t="shared" si="522"/>
        <v>스토리위즈</v>
      </c>
      <c r="I3958" t="str">
        <f t="shared" si="524"/>
        <v>디버프 마스터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>
        <v>70</v>
      </c>
      <c r="AT3958" t="str">
        <f t="shared" si="525"/>
        <v>9791137602663</v>
      </c>
      <c r="AV3958" t="str">
        <f t="shared" si="526"/>
        <v>판타지 웹소설 &gt; 퓨전 판타지</v>
      </c>
    </row>
    <row r="3959" spans="1:48" x14ac:dyDescent="0.4">
      <c r="A3959">
        <v>2313012849</v>
      </c>
      <c r="B3959">
        <v>2313014123</v>
      </c>
      <c r="C3959" t="str">
        <f>T("디버프 마스터 1275화")</f>
        <v>디버프 마스터 1275화</v>
      </c>
      <c r="D3959" t="str">
        <f>T("1275")</f>
        <v>1275</v>
      </c>
      <c r="E3959" t="str">
        <f t="shared" si="523"/>
        <v>담화공</v>
      </c>
      <c r="H3959" t="str">
        <f t="shared" si="522"/>
        <v>스토리위즈</v>
      </c>
      <c r="I3959" t="str">
        <f t="shared" si="524"/>
        <v>디버프 마스터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>
        <v>70</v>
      </c>
      <c r="AT3959" t="str">
        <f t="shared" si="525"/>
        <v>9791137602663</v>
      </c>
      <c r="AV3959" t="str">
        <f t="shared" si="526"/>
        <v>판타지 웹소설 &gt; 퓨전 판타지</v>
      </c>
    </row>
    <row r="3960" spans="1:48" x14ac:dyDescent="0.4">
      <c r="A3960">
        <v>2313012849</v>
      </c>
      <c r="B3960">
        <v>2313014124</v>
      </c>
      <c r="C3960" t="str">
        <f>T("디버프 마스터 1276화")</f>
        <v>디버프 마스터 1276화</v>
      </c>
      <c r="D3960" t="str">
        <f>T("1276")</f>
        <v>1276</v>
      </c>
      <c r="E3960" t="str">
        <f t="shared" si="523"/>
        <v>담화공</v>
      </c>
      <c r="H3960" t="str">
        <f t="shared" si="522"/>
        <v>스토리위즈</v>
      </c>
      <c r="I3960" t="str">
        <f t="shared" si="524"/>
        <v>디버프 마스터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>
        <v>70</v>
      </c>
      <c r="AT3960" t="str">
        <f t="shared" si="525"/>
        <v>9791137602663</v>
      </c>
      <c r="AV3960" t="str">
        <f t="shared" si="526"/>
        <v>판타지 웹소설 &gt; 퓨전 판타지</v>
      </c>
    </row>
    <row r="3961" spans="1:48" x14ac:dyDescent="0.4">
      <c r="A3961">
        <v>2313012849</v>
      </c>
      <c r="B3961">
        <v>2313014125</v>
      </c>
      <c r="C3961" t="str">
        <f>T("디버프 마스터 1277화")</f>
        <v>디버프 마스터 1277화</v>
      </c>
      <c r="D3961" t="str">
        <f>T("1277")</f>
        <v>1277</v>
      </c>
      <c r="E3961" t="str">
        <f t="shared" si="523"/>
        <v>담화공</v>
      </c>
      <c r="H3961" t="str">
        <f t="shared" ref="H3961:H4024" si="527">T("스토리위즈")</f>
        <v>스토리위즈</v>
      </c>
      <c r="I3961" t="str">
        <f t="shared" si="524"/>
        <v>디버프 마스터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>
        <v>70</v>
      </c>
      <c r="AT3961" t="str">
        <f t="shared" si="525"/>
        <v>9791137602663</v>
      </c>
      <c r="AV3961" t="str">
        <f t="shared" si="526"/>
        <v>판타지 웹소설 &gt; 퓨전 판타지</v>
      </c>
    </row>
    <row r="3962" spans="1:48" x14ac:dyDescent="0.4">
      <c r="A3962">
        <v>2313012849</v>
      </c>
      <c r="B3962">
        <v>2313014126</v>
      </c>
      <c r="C3962" t="str">
        <f>T("디버프 마스터 1278화")</f>
        <v>디버프 마스터 1278화</v>
      </c>
      <c r="D3962" t="str">
        <f>T("1278")</f>
        <v>1278</v>
      </c>
      <c r="E3962" t="str">
        <f t="shared" si="523"/>
        <v>담화공</v>
      </c>
      <c r="H3962" t="str">
        <f t="shared" si="527"/>
        <v>스토리위즈</v>
      </c>
      <c r="I3962" t="str">
        <f t="shared" si="524"/>
        <v>디버프 마스터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>
        <v>70</v>
      </c>
      <c r="AT3962" t="str">
        <f t="shared" si="525"/>
        <v>9791137602663</v>
      </c>
      <c r="AV3962" t="str">
        <f t="shared" si="526"/>
        <v>판타지 웹소설 &gt; 퓨전 판타지</v>
      </c>
    </row>
    <row r="3963" spans="1:48" x14ac:dyDescent="0.4">
      <c r="A3963">
        <v>2313012849</v>
      </c>
      <c r="B3963">
        <v>2313014127</v>
      </c>
      <c r="C3963" t="str">
        <f>T("디버프 마스터 1279화")</f>
        <v>디버프 마스터 1279화</v>
      </c>
      <c r="D3963" t="str">
        <f>T("1279")</f>
        <v>1279</v>
      </c>
      <c r="E3963" t="str">
        <f t="shared" si="523"/>
        <v>담화공</v>
      </c>
      <c r="H3963" t="str">
        <f t="shared" si="527"/>
        <v>스토리위즈</v>
      </c>
      <c r="I3963" t="str">
        <f t="shared" si="524"/>
        <v>디버프 마스터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>
        <v>70</v>
      </c>
      <c r="AT3963" t="str">
        <f t="shared" si="525"/>
        <v>9791137602663</v>
      </c>
      <c r="AV3963" t="str">
        <f t="shared" si="526"/>
        <v>판타지 웹소설 &gt; 퓨전 판타지</v>
      </c>
    </row>
    <row r="3964" spans="1:48" x14ac:dyDescent="0.4">
      <c r="A3964">
        <v>2313012849</v>
      </c>
      <c r="B3964">
        <v>2313014128</v>
      </c>
      <c r="C3964" t="str">
        <f>T("디버프 마스터 1280화")</f>
        <v>디버프 마스터 1280화</v>
      </c>
      <c r="D3964" t="str">
        <f>T("1280")</f>
        <v>1280</v>
      </c>
      <c r="E3964" t="str">
        <f t="shared" si="523"/>
        <v>담화공</v>
      </c>
      <c r="H3964" t="str">
        <f t="shared" si="527"/>
        <v>스토리위즈</v>
      </c>
      <c r="I3964" t="str">
        <f t="shared" si="524"/>
        <v>디버프 마스터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>
        <v>70</v>
      </c>
      <c r="AT3964" t="str">
        <f t="shared" si="525"/>
        <v>9791137602663</v>
      </c>
      <c r="AV3964" t="str">
        <f t="shared" si="526"/>
        <v>판타지 웹소설 &gt; 퓨전 판타지</v>
      </c>
    </row>
    <row r="3965" spans="1:48" x14ac:dyDescent="0.4">
      <c r="A3965">
        <v>2313012849</v>
      </c>
      <c r="B3965">
        <v>2313014129</v>
      </c>
      <c r="C3965" t="str">
        <f>T("디버프 마스터 1281화")</f>
        <v>디버프 마스터 1281화</v>
      </c>
      <c r="D3965" t="str">
        <f>T("1281")</f>
        <v>1281</v>
      </c>
      <c r="E3965" t="str">
        <f t="shared" si="523"/>
        <v>담화공</v>
      </c>
      <c r="H3965" t="str">
        <f t="shared" si="527"/>
        <v>스토리위즈</v>
      </c>
      <c r="I3965" t="str">
        <f t="shared" si="524"/>
        <v>디버프 마스터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>
        <v>70</v>
      </c>
      <c r="AT3965" t="str">
        <f t="shared" si="525"/>
        <v>9791137602663</v>
      </c>
      <c r="AV3965" t="str">
        <f t="shared" si="526"/>
        <v>판타지 웹소설 &gt; 퓨전 판타지</v>
      </c>
    </row>
    <row r="3966" spans="1:48" x14ac:dyDescent="0.4">
      <c r="A3966">
        <v>2313012849</v>
      </c>
      <c r="B3966">
        <v>2313014130</v>
      </c>
      <c r="C3966" t="str">
        <f>T("디버프 마스터 1282화")</f>
        <v>디버프 마스터 1282화</v>
      </c>
      <c r="D3966" t="str">
        <f>T("1282")</f>
        <v>1282</v>
      </c>
      <c r="E3966" t="str">
        <f t="shared" si="523"/>
        <v>담화공</v>
      </c>
      <c r="H3966" t="str">
        <f t="shared" si="527"/>
        <v>스토리위즈</v>
      </c>
      <c r="I3966" t="str">
        <f t="shared" si="524"/>
        <v>디버프 마스터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>
        <v>70</v>
      </c>
      <c r="AT3966" t="str">
        <f t="shared" si="525"/>
        <v>9791137602663</v>
      </c>
      <c r="AV3966" t="str">
        <f t="shared" si="526"/>
        <v>판타지 웹소설 &gt; 퓨전 판타지</v>
      </c>
    </row>
    <row r="3967" spans="1:48" x14ac:dyDescent="0.4">
      <c r="A3967">
        <v>2313012849</v>
      </c>
      <c r="B3967">
        <v>2313014131</v>
      </c>
      <c r="C3967" t="str">
        <f>T("디버프 마스터 1283화")</f>
        <v>디버프 마스터 1283화</v>
      </c>
      <c r="D3967" t="str">
        <f>T("1283")</f>
        <v>1283</v>
      </c>
      <c r="E3967" t="str">
        <f t="shared" si="523"/>
        <v>담화공</v>
      </c>
      <c r="H3967" t="str">
        <f t="shared" si="527"/>
        <v>스토리위즈</v>
      </c>
      <c r="I3967" t="str">
        <f t="shared" si="524"/>
        <v>디버프 마스터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>
        <v>70</v>
      </c>
      <c r="AT3967" t="str">
        <f t="shared" si="525"/>
        <v>9791137602663</v>
      </c>
      <c r="AV3967" t="str">
        <f t="shared" si="526"/>
        <v>판타지 웹소설 &gt; 퓨전 판타지</v>
      </c>
    </row>
    <row r="3968" spans="1:48" x14ac:dyDescent="0.4">
      <c r="A3968">
        <v>2313012849</v>
      </c>
      <c r="B3968">
        <v>2313014132</v>
      </c>
      <c r="C3968" t="str">
        <f>T("디버프 마스터 1284화")</f>
        <v>디버프 마스터 1284화</v>
      </c>
      <c r="D3968" t="str">
        <f>T("1284")</f>
        <v>1284</v>
      </c>
      <c r="E3968" t="str">
        <f t="shared" si="523"/>
        <v>담화공</v>
      </c>
      <c r="H3968" t="str">
        <f t="shared" si="527"/>
        <v>스토리위즈</v>
      </c>
      <c r="I3968" t="str">
        <f t="shared" si="524"/>
        <v>디버프 마스터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>
        <v>70</v>
      </c>
      <c r="AT3968" t="str">
        <f t="shared" si="525"/>
        <v>9791137602663</v>
      </c>
      <c r="AV3968" t="str">
        <f t="shared" si="526"/>
        <v>판타지 웹소설 &gt; 퓨전 판타지</v>
      </c>
    </row>
    <row r="3969" spans="1:48" x14ac:dyDescent="0.4">
      <c r="A3969">
        <v>2313012849</v>
      </c>
      <c r="B3969">
        <v>2313014133</v>
      </c>
      <c r="C3969" t="str">
        <f>T("디버프 마스터 1285화")</f>
        <v>디버프 마스터 1285화</v>
      </c>
      <c r="D3969" t="str">
        <f>T("1285")</f>
        <v>1285</v>
      </c>
      <c r="E3969" t="str">
        <f t="shared" si="523"/>
        <v>담화공</v>
      </c>
      <c r="H3969" t="str">
        <f t="shared" si="527"/>
        <v>스토리위즈</v>
      </c>
      <c r="I3969" t="str">
        <f t="shared" si="524"/>
        <v>디버프 마스터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>
        <v>70</v>
      </c>
      <c r="AT3969" t="str">
        <f t="shared" si="525"/>
        <v>9791137602663</v>
      </c>
      <c r="AV3969" t="str">
        <f t="shared" si="526"/>
        <v>판타지 웹소설 &gt; 퓨전 판타지</v>
      </c>
    </row>
    <row r="3970" spans="1:48" x14ac:dyDescent="0.4">
      <c r="A3970">
        <v>2313012849</v>
      </c>
      <c r="B3970">
        <v>2313014134</v>
      </c>
      <c r="C3970" t="str">
        <f>T("디버프 마스터 1286화")</f>
        <v>디버프 마스터 1286화</v>
      </c>
      <c r="D3970" t="str">
        <f>T("1286")</f>
        <v>1286</v>
      </c>
      <c r="E3970" t="str">
        <f t="shared" si="523"/>
        <v>담화공</v>
      </c>
      <c r="H3970" t="str">
        <f t="shared" si="527"/>
        <v>스토리위즈</v>
      </c>
      <c r="I3970" t="str">
        <f t="shared" si="524"/>
        <v>디버프 마스터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>
        <v>70</v>
      </c>
      <c r="AT3970" t="str">
        <f t="shared" si="525"/>
        <v>9791137602663</v>
      </c>
      <c r="AV3970" t="str">
        <f t="shared" si="526"/>
        <v>판타지 웹소설 &gt; 퓨전 판타지</v>
      </c>
    </row>
    <row r="3971" spans="1:48" x14ac:dyDescent="0.4">
      <c r="A3971">
        <v>2313012849</v>
      </c>
      <c r="B3971">
        <v>2313014135</v>
      </c>
      <c r="C3971" t="str">
        <f>T("디버프 마스터 1287화")</f>
        <v>디버프 마스터 1287화</v>
      </c>
      <c r="D3971" t="str">
        <f>T("1287")</f>
        <v>1287</v>
      </c>
      <c r="E3971" t="str">
        <f t="shared" si="523"/>
        <v>담화공</v>
      </c>
      <c r="H3971" t="str">
        <f t="shared" si="527"/>
        <v>스토리위즈</v>
      </c>
      <c r="I3971" t="str">
        <f t="shared" si="524"/>
        <v>디버프 마스터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>
        <v>70</v>
      </c>
      <c r="AT3971" t="str">
        <f t="shared" si="525"/>
        <v>9791137602663</v>
      </c>
      <c r="AV3971" t="str">
        <f t="shared" si="526"/>
        <v>판타지 웹소설 &gt; 퓨전 판타지</v>
      </c>
    </row>
    <row r="3972" spans="1:48" x14ac:dyDescent="0.4">
      <c r="A3972">
        <v>2313012849</v>
      </c>
      <c r="B3972">
        <v>2313014136</v>
      </c>
      <c r="C3972" t="str">
        <f>T("디버프 마스터 1288화")</f>
        <v>디버프 마스터 1288화</v>
      </c>
      <c r="D3972" t="str">
        <f>T("1288")</f>
        <v>1288</v>
      </c>
      <c r="E3972" t="str">
        <f t="shared" si="523"/>
        <v>담화공</v>
      </c>
      <c r="H3972" t="str">
        <f t="shared" si="527"/>
        <v>스토리위즈</v>
      </c>
      <c r="I3972" t="str">
        <f t="shared" si="524"/>
        <v>디버프 마스터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>
        <v>70</v>
      </c>
      <c r="AT3972" t="str">
        <f t="shared" si="525"/>
        <v>9791137602663</v>
      </c>
      <c r="AV3972" t="str">
        <f t="shared" si="526"/>
        <v>판타지 웹소설 &gt; 퓨전 판타지</v>
      </c>
    </row>
    <row r="3973" spans="1:48" x14ac:dyDescent="0.4">
      <c r="A3973">
        <v>2313012849</v>
      </c>
      <c r="B3973">
        <v>2313014137</v>
      </c>
      <c r="C3973" t="str">
        <f>T("디버프 마스터 1289화")</f>
        <v>디버프 마스터 1289화</v>
      </c>
      <c r="D3973" t="str">
        <f>T("1289")</f>
        <v>1289</v>
      </c>
      <c r="E3973" t="str">
        <f t="shared" si="523"/>
        <v>담화공</v>
      </c>
      <c r="H3973" t="str">
        <f t="shared" si="527"/>
        <v>스토리위즈</v>
      </c>
      <c r="I3973" t="str">
        <f t="shared" si="524"/>
        <v>디버프 마스터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>
        <v>70</v>
      </c>
      <c r="AT3973" t="str">
        <f t="shared" si="525"/>
        <v>9791137602663</v>
      </c>
      <c r="AV3973" t="str">
        <f t="shared" si="526"/>
        <v>판타지 웹소설 &gt; 퓨전 판타지</v>
      </c>
    </row>
    <row r="3974" spans="1:48" x14ac:dyDescent="0.4">
      <c r="A3974">
        <v>2313012849</v>
      </c>
      <c r="B3974">
        <v>2313014138</v>
      </c>
      <c r="C3974" t="str">
        <f>T("디버프 마스터 1290화")</f>
        <v>디버프 마스터 1290화</v>
      </c>
      <c r="D3974" t="str">
        <f>T("1290")</f>
        <v>1290</v>
      </c>
      <c r="E3974" t="str">
        <f t="shared" si="523"/>
        <v>담화공</v>
      </c>
      <c r="H3974" t="str">
        <f t="shared" si="527"/>
        <v>스토리위즈</v>
      </c>
      <c r="I3974" t="str">
        <f t="shared" si="524"/>
        <v>디버프 마스터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70</v>
      </c>
      <c r="AT3974" t="str">
        <f t="shared" si="525"/>
        <v>9791137602663</v>
      </c>
      <c r="AV3974" t="str">
        <f t="shared" si="526"/>
        <v>판타지 웹소설 &gt; 퓨전 판타지</v>
      </c>
    </row>
    <row r="3975" spans="1:48" x14ac:dyDescent="0.4">
      <c r="A3975">
        <v>2313012849</v>
      </c>
      <c r="B3975">
        <v>2313014139</v>
      </c>
      <c r="C3975" t="str">
        <f>T("디버프 마스터 1291화")</f>
        <v>디버프 마스터 1291화</v>
      </c>
      <c r="D3975" t="str">
        <f>T("1291")</f>
        <v>1291</v>
      </c>
      <c r="E3975" t="str">
        <f t="shared" si="523"/>
        <v>담화공</v>
      </c>
      <c r="H3975" t="str">
        <f t="shared" si="527"/>
        <v>스토리위즈</v>
      </c>
      <c r="I3975" t="str">
        <f t="shared" si="524"/>
        <v>디버프 마스터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>
        <v>70</v>
      </c>
      <c r="AT3975" t="str">
        <f t="shared" si="525"/>
        <v>9791137602663</v>
      </c>
      <c r="AV3975" t="str">
        <f t="shared" si="526"/>
        <v>판타지 웹소설 &gt; 퓨전 판타지</v>
      </c>
    </row>
    <row r="3976" spans="1:48" x14ac:dyDescent="0.4">
      <c r="A3976">
        <v>2313012849</v>
      </c>
      <c r="B3976">
        <v>2313014140</v>
      </c>
      <c r="C3976" t="str">
        <f>T("디버프 마스터 1292화")</f>
        <v>디버프 마스터 1292화</v>
      </c>
      <c r="D3976" t="str">
        <f>T("1292")</f>
        <v>1292</v>
      </c>
      <c r="E3976" t="str">
        <f t="shared" ref="E3976:E4009" si="528">T("담화공")</f>
        <v>담화공</v>
      </c>
      <c r="H3976" t="str">
        <f t="shared" si="527"/>
        <v>스토리위즈</v>
      </c>
      <c r="I3976" t="str">
        <f t="shared" ref="I3976:I4009" si="529">T("디버프 마스터")</f>
        <v>디버프 마스터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>
        <v>70</v>
      </c>
      <c r="AT3976" t="str">
        <f t="shared" ref="AT3976:AT4009" si="530">T("9791137602663")</f>
        <v>9791137602663</v>
      </c>
      <c r="AV3976" t="str">
        <f t="shared" ref="AV3976:AV4027" si="531">T("판타지 웹소설 &gt; 퓨전 판타지")</f>
        <v>판타지 웹소설 &gt; 퓨전 판타지</v>
      </c>
    </row>
    <row r="3977" spans="1:48" x14ac:dyDescent="0.4">
      <c r="A3977">
        <v>2313012849</v>
      </c>
      <c r="B3977">
        <v>2313014141</v>
      </c>
      <c r="C3977" t="str">
        <f>T("디버프 마스터 1293화")</f>
        <v>디버프 마스터 1293화</v>
      </c>
      <c r="D3977" t="str">
        <f>T("1293")</f>
        <v>1293</v>
      </c>
      <c r="E3977" t="str">
        <f t="shared" si="528"/>
        <v>담화공</v>
      </c>
      <c r="H3977" t="str">
        <f t="shared" si="527"/>
        <v>스토리위즈</v>
      </c>
      <c r="I3977" t="str">
        <f t="shared" si="529"/>
        <v>디버프 마스터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>
        <v>70</v>
      </c>
      <c r="AT3977" t="str">
        <f t="shared" si="530"/>
        <v>9791137602663</v>
      </c>
      <c r="AV3977" t="str">
        <f t="shared" si="531"/>
        <v>판타지 웹소설 &gt; 퓨전 판타지</v>
      </c>
    </row>
    <row r="3978" spans="1:48" x14ac:dyDescent="0.4">
      <c r="A3978">
        <v>2313012849</v>
      </c>
      <c r="B3978">
        <v>2313014142</v>
      </c>
      <c r="C3978" t="str">
        <f>T("디버프 마스터 1294화")</f>
        <v>디버프 마스터 1294화</v>
      </c>
      <c r="D3978" t="str">
        <f>T("1294")</f>
        <v>1294</v>
      </c>
      <c r="E3978" t="str">
        <f t="shared" si="528"/>
        <v>담화공</v>
      </c>
      <c r="H3978" t="str">
        <f t="shared" si="527"/>
        <v>스토리위즈</v>
      </c>
      <c r="I3978" t="str">
        <f t="shared" si="529"/>
        <v>디버프 마스터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>
        <v>70</v>
      </c>
      <c r="AT3978" t="str">
        <f t="shared" si="530"/>
        <v>9791137602663</v>
      </c>
      <c r="AV3978" t="str">
        <f t="shared" si="531"/>
        <v>판타지 웹소설 &gt; 퓨전 판타지</v>
      </c>
    </row>
    <row r="3979" spans="1:48" x14ac:dyDescent="0.4">
      <c r="A3979">
        <v>2313012849</v>
      </c>
      <c r="B3979">
        <v>2313014143</v>
      </c>
      <c r="C3979" t="str">
        <f>T("디버프 마스터 1295화")</f>
        <v>디버프 마스터 1295화</v>
      </c>
      <c r="D3979" t="str">
        <f>T("1295")</f>
        <v>1295</v>
      </c>
      <c r="E3979" t="str">
        <f t="shared" si="528"/>
        <v>담화공</v>
      </c>
      <c r="H3979" t="str">
        <f t="shared" si="527"/>
        <v>스토리위즈</v>
      </c>
      <c r="I3979" t="str">
        <f t="shared" si="529"/>
        <v>디버프 마스터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>
        <v>70</v>
      </c>
      <c r="AT3979" t="str">
        <f t="shared" si="530"/>
        <v>9791137602663</v>
      </c>
      <c r="AV3979" t="str">
        <f t="shared" si="531"/>
        <v>판타지 웹소설 &gt; 퓨전 판타지</v>
      </c>
    </row>
    <row r="3980" spans="1:48" x14ac:dyDescent="0.4">
      <c r="A3980">
        <v>2313012849</v>
      </c>
      <c r="B3980">
        <v>2313014144</v>
      </c>
      <c r="C3980" t="str">
        <f>T("디버프 마스터 1296화")</f>
        <v>디버프 마스터 1296화</v>
      </c>
      <c r="D3980" t="str">
        <f>T("1296")</f>
        <v>1296</v>
      </c>
      <c r="E3980" t="str">
        <f t="shared" si="528"/>
        <v>담화공</v>
      </c>
      <c r="H3980" t="str">
        <f t="shared" si="527"/>
        <v>스토리위즈</v>
      </c>
      <c r="I3980" t="str">
        <f t="shared" si="529"/>
        <v>디버프 마스터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>
        <v>70</v>
      </c>
      <c r="AT3980" t="str">
        <f t="shared" si="530"/>
        <v>9791137602663</v>
      </c>
      <c r="AV3980" t="str">
        <f t="shared" si="531"/>
        <v>판타지 웹소설 &gt; 퓨전 판타지</v>
      </c>
    </row>
    <row r="3981" spans="1:48" x14ac:dyDescent="0.4">
      <c r="A3981">
        <v>2313012849</v>
      </c>
      <c r="B3981">
        <v>2313014145</v>
      </c>
      <c r="C3981" t="str">
        <f>T("디버프 마스터 1297화")</f>
        <v>디버프 마스터 1297화</v>
      </c>
      <c r="D3981" t="str">
        <f>T("1297")</f>
        <v>1297</v>
      </c>
      <c r="E3981" t="str">
        <f t="shared" si="528"/>
        <v>담화공</v>
      </c>
      <c r="H3981" t="str">
        <f t="shared" si="527"/>
        <v>스토리위즈</v>
      </c>
      <c r="I3981" t="str">
        <f t="shared" si="529"/>
        <v>디버프 마스터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>
        <v>70</v>
      </c>
      <c r="AT3981" t="str">
        <f t="shared" si="530"/>
        <v>9791137602663</v>
      </c>
      <c r="AV3981" t="str">
        <f t="shared" si="531"/>
        <v>판타지 웹소설 &gt; 퓨전 판타지</v>
      </c>
    </row>
    <row r="3982" spans="1:48" x14ac:dyDescent="0.4">
      <c r="A3982">
        <v>2313012849</v>
      </c>
      <c r="B3982">
        <v>2313014146</v>
      </c>
      <c r="C3982" t="str">
        <f>T("디버프 마스터 1298화")</f>
        <v>디버프 마스터 1298화</v>
      </c>
      <c r="D3982" t="str">
        <f>T("1298")</f>
        <v>1298</v>
      </c>
      <c r="E3982" t="str">
        <f t="shared" si="528"/>
        <v>담화공</v>
      </c>
      <c r="H3982" t="str">
        <f t="shared" si="527"/>
        <v>스토리위즈</v>
      </c>
      <c r="I3982" t="str">
        <f t="shared" si="529"/>
        <v>디버프 마스터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>
        <v>70</v>
      </c>
      <c r="AT3982" t="str">
        <f t="shared" si="530"/>
        <v>9791137602663</v>
      </c>
      <c r="AV3982" t="str">
        <f t="shared" si="531"/>
        <v>판타지 웹소설 &gt; 퓨전 판타지</v>
      </c>
    </row>
    <row r="3983" spans="1:48" x14ac:dyDescent="0.4">
      <c r="A3983">
        <v>2313012849</v>
      </c>
      <c r="B3983">
        <v>2313014147</v>
      </c>
      <c r="C3983" t="str">
        <f>T("디버프 마스터 1299화")</f>
        <v>디버프 마스터 1299화</v>
      </c>
      <c r="D3983" t="str">
        <f>T("1299")</f>
        <v>1299</v>
      </c>
      <c r="E3983" t="str">
        <f t="shared" si="528"/>
        <v>담화공</v>
      </c>
      <c r="H3983" t="str">
        <f t="shared" si="527"/>
        <v>스토리위즈</v>
      </c>
      <c r="I3983" t="str">
        <f t="shared" si="529"/>
        <v>디버프 마스터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>
        <v>70</v>
      </c>
      <c r="AT3983" t="str">
        <f t="shared" si="530"/>
        <v>9791137602663</v>
      </c>
      <c r="AV3983" t="str">
        <f t="shared" si="531"/>
        <v>판타지 웹소설 &gt; 퓨전 판타지</v>
      </c>
    </row>
    <row r="3984" spans="1:48" x14ac:dyDescent="0.4">
      <c r="A3984">
        <v>2313012849</v>
      </c>
      <c r="B3984">
        <v>2313014148</v>
      </c>
      <c r="C3984" t="str">
        <f>T("디버프 마스터 1300화")</f>
        <v>디버프 마스터 1300화</v>
      </c>
      <c r="D3984" t="str">
        <f>T("1300")</f>
        <v>1300</v>
      </c>
      <c r="E3984" t="str">
        <f t="shared" si="528"/>
        <v>담화공</v>
      </c>
      <c r="H3984" t="str">
        <f t="shared" si="527"/>
        <v>스토리위즈</v>
      </c>
      <c r="I3984" t="str">
        <f t="shared" si="529"/>
        <v>디버프 마스터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>
        <v>70</v>
      </c>
      <c r="AT3984" t="str">
        <f t="shared" si="530"/>
        <v>9791137602663</v>
      </c>
      <c r="AV3984" t="str">
        <f t="shared" si="531"/>
        <v>판타지 웹소설 &gt; 퓨전 판타지</v>
      </c>
    </row>
    <row r="3985" spans="1:48" x14ac:dyDescent="0.4">
      <c r="A3985">
        <v>2313012849</v>
      </c>
      <c r="B3985">
        <v>2313014149</v>
      </c>
      <c r="C3985" t="str">
        <f>T("디버프 마스터 1301화")</f>
        <v>디버프 마스터 1301화</v>
      </c>
      <c r="D3985" t="str">
        <f>T("1301")</f>
        <v>1301</v>
      </c>
      <c r="E3985" t="str">
        <f t="shared" si="528"/>
        <v>담화공</v>
      </c>
      <c r="H3985" t="str">
        <f t="shared" si="527"/>
        <v>스토리위즈</v>
      </c>
      <c r="I3985" t="str">
        <f t="shared" si="529"/>
        <v>디버프 마스터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>
        <v>70</v>
      </c>
      <c r="AT3985" t="str">
        <f t="shared" si="530"/>
        <v>9791137602663</v>
      </c>
      <c r="AV3985" t="str">
        <f t="shared" si="531"/>
        <v>판타지 웹소설 &gt; 퓨전 판타지</v>
      </c>
    </row>
    <row r="3986" spans="1:48" x14ac:dyDescent="0.4">
      <c r="A3986">
        <v>2313012849</v>
      </c>
      <c r="B3986">
        <v>2313014150</v>
      </c>
      <c r="C3986" t="str">
        <f>T("디버프 마스터 1302화")</f>
        <v>디버프 마스터 1302화</v>
      </c>
      <c r="D3986" t="str">
        <f>T("1302")</f>
        <v>1302</v>
      </c>
      <c r="E3986" t="str">
        <f t="shared" si="528"/>
        <v>담화공</v>
      </c>
      <c r="H3986" t="str">
        <f t="shared" si="527"/>
        <v>스토리위즈</v>
      </c>
      <c r="I3986" t="str">
        <f t="shared" si="529"/>
        <v>디버프 마스터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>
        <v>70</v>
      </c>
      <c r="AT3986" t="str">
        <f t="shared" si="530"/>
        <v>9791137602663</v>
      </c>
      <c r="AV3986" t="str">
        <f t="shared" si="531"/>
        <v>판타지 웹소설 &gt; 퓨전 판타지</v>
      </c>
    </row>
    <row r="3987" spans="1:48" x14ac:dyDescent="0.4">
      <c r="A3987">
        <v>2313012849</v>
      </c>
      <c r="B3987">
        <v>2313014151</v>
      </c>
      <c r="C3987" t="str">
        <f>T("디버프 마스터 1303화")</f>
        <v>디버프 마스터 1303화</v>
      </c>
      <c r="D3987" t="str">
        <f>T("1303")</f>
        <v>1303</v>
      </c>
      <c r="E3987" t="str">
        <f t="shared" si="528"/>
        <v>담화공</v>
      </c>
      <c r="H3987" t="str">
        <f t="shared" si="527"/>
        <v>스토리위즈</v>
      </c>
      <c r="I3987" t="str">
        <f t="shared" si="529"/>
        <v>디버프 마스터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>
        <v>70</v>
      </c>
      <c r="AT3987" t="str">
        <f t="shared" si="530"/>
        <v>9791137602663</v>
      </c>
      <c r="AV3987" t="str">
        <f t="shared" si="531"/>
        <v>판타지 웹소설 &gt; 퓨전 판타지</v>
      </c>
    </row>
    <row r="3988" spans="1:48" x14ac:dyDescent="0.4">
      <c r="A3988">
        <v>2313012849</v>
      </c>
      <c r="B3988">
        <v>2313014152</v>
      </c>
      <c r="C3988" t="str">
        <f>T("디버프 마스터 1304화")</f>
        <v>디버프 마스터 1304화</v>
      </c>
      <c r="D3988" t="str">
        <f>T("1304")</f>
        <v>1304</v>
      </c>
      <c r="E3988" t="str">
        <f t="shared" si="528"/>
        <v>담화공</v>
      </c>
      <c r="H3988" t="str">
        <f t="shared" si="527"/>
        <v>스토리위즈</v>
      </c>
      <c r="I3988" t="str">
        <f t="shared" si="529"/>
        <v>디버프 마스터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>
        <v>70</v>
      </c>
      <c r="AT3988" t="str">
        <f t="shared" si="530"/>
        <v>9791137602663</v>
      </c>
      <c r="AV3988" t="str">
        <f t="shared" si="531"/>
        <v>판타지 웹소설 &gt; 퓨전 판타지</v>
      </c>
    </row>
    <row r="3989" spans="1:48" x14ac:dyDescent="0.4">
      <c r="A3989">
        <v>2313012849</v>
      </c>
      <c r="B3989">
        <v>2313014153</v>
      </c>
      <c r="C3989" t="str">
        <f>T("디버프 마스터 1305화")</f>
        <v>디버프 마스터 1305화</v>
      </c>
      <c r="D3989" t="str">
        <f>T("1305")</f>
        <v>1305</v>
      </c>
      <c r="E3989" t="str">
        <f t="shared" si="528"/>
        <v>담화공</v>
      </c>
      <c r="H3989" t="str">
        <f t="shared" si="527"/>
        <v>스토리위즈</v>
      </c>
      <c r="I3989" t="str">
        <f t="shared" si="529"/>
        <v>디버프 마스터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>
        <v>70</v>
      </c>
      <c r="AT3989" t="str">
        <f t="shared" si="530"/>
        <v>9791137602663</v>
      </c>
      <c r="AV3989" t="str">
        <f t="shared" si="531"/>
        <v>판타지 웹소설 &gt; 퓨전 판타지</v>
      </c>
    </row>
    <row r="3990" spans="1:48" x14ac:dyDescent="0.4">
      <c r="A3990">
        <v>2313012849</v>
      </c>
      <c r="B3990">
        <v>2313014154</v>
      </c>
      <c r="C3990" t="str">
        <f>T("디버프 마스터 1306화")</f>
        <v>디버프 마스터 1306화</v>
      </c>
      <c r="D3990" t="str">
        <f>T("1306")</f>
        <v>1306</v>
      </c>
      <c r="E3990" t="str">
        <f t="shared" si="528"/>
        <v>담화공</v>
      </c>
      <c r="H3990" t="str">
        <f t="shared" si="527"/>
        <v>스토리위즈</v>
      </c>
      <c r="I3990" t="str">
        <f t="shared" si="529"/>
        <v>디버프 마스터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>
        <v>70</v>
      </c>
      <c r="AT3990" t="str">
        <f t="shared" si="530"/>
        <v>9791137602663</v>
      </c>
      <c r="AV3990" t="str">
        <f t="shared" si="531"/>
        <v>판타지 웹소설 &gt; 퓨전 판타지</v>
      </c>
    </row>
    <row r="3991" spans="1:48" x14ac:dyDescent="0.4">
      <c r="A3991">
        <v>2313012849</v>
      </c>
      <c r="B3991">
        <v>2313014155</v>
      </c>
      <c r="C3991" t="str">
        <f>T("디버프 마스터 1307화")</f>
        <v>디버프 마스터 1307화</v>
      </c>
      <c r="D3991" t="str">
        <f>T("1307")</f>
        <v>1307</v>
      </c>
      <c r="E3991" t="str">
        <f t="shared" si="528"/>
        <v>담화공</v>
      </c>
      <c r="H3991" t="str">
        <f t="shared" si="527"/>
        <v>스토리위즈</v>
      </c>
      <c r="I3991" t="str">
        <f t="shared" si="529"/>
        <v>디버프 마스터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>
        <v>70</v>
      </c>
      <c r="AT3991" t="str">
        <f t="shared" si="530"/>
        <v>9791137602663</v>
      </c>
      <c r="AV3991" t="str">
        <f t="shared" si="531"/>
        <v>판타지 웹소설 &gt; 퓨전 판타지</v>
      </c>
    </row>
    <row r="3992" spans="1:48" x14ac:dyDescent="0.4">
      <c r="A3992">
        <v>2313012849</v>
      </c>
      <c r="B3992">
        <v>2313014156</v>
      </c>
      <c r="C3992" t="str">
        <f>T("디버프 마스터 1308화")</f>
        <v>디버프 마스터 1308화</v>
      </c>
      <c r="D3992" t="str">
        <f>T("1308")</f>
        <v>1308</v>
      </c>
      <c r="E3992" t="str">
        <f t="shared" si="528"/>
        <v>담화공</v>
      </c>
      <c r="H3992" t="str">
        <f t="shared" si="527"/>
        <v>스토리위즈</v>
      </c>
      <c r="I3992" t="str">
        <f t="shared" si="529"/>
        <v>디버프 마스터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>
        <v>70</v>
      </c>
      <c r="AT3992" t="str">
        <f t="shared" si="530"/>
        <v>9791137602663</v>
      </c>
      <c r="AV3992" t="str">
        <f t="shared" si="531"/>
        <v>판타지 웹소설 &gt; 퓨전 판타지</v>
      </c>
    </row>
    <row r="3993" spans="1:48" x14ac:dyDescent="0.4">
      <c r="A3993">
        <v>2313012849</v>
      </c>
      <c r="B3993">
        <v>2313014157</v>
      </c>
      <c r="C3993" t="str">
        <f>T("디버프 마스터 1309화")</f>
        <v>디버프 마스터 1309화</v>
      </c>
      <c r="D3993" t="str">
        <f>T("1309")</f>
        <v>1309</v>
      </c>
      <c r="E3993" t="str">
        <f t="shared" si="528"/>
        <v>담화공</v>
      </c>
      <c r="H3993" t="str">
        <f t="shared" si="527"/>
        <v>스토리위즈</v>
      </c>
      <c r="I3993" t="str">
        <f t="shared" si="529"/>
        <v>디버프 마스터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>
        <v>70</v>
      </c>
      <c r="AT3993" t="str">
        <f t="shared" si="530"/>
        <v>9791137602663</v>
      </c>
      <c r="AV3993" t="str">
        <f t="shared" si="531"/>
        <v>판타지 웹소설 &gt; 퓨전 판타지</v>
      </c>
    </row>
    <row r="3994" spans="1:48" x14ac:dyDescent="0.4">
      <c r="A3994">
        <v>2313012849</v>
      </c>
      <c r="B3994">
        <v>2313014158</v>
      </c>
      <c r="C3994" t="str">
        <f>T("디버프 마스터 1310화")</f>
        <v>디버프 마스터 1310화</v>
      </c>
      <c r="D3994" t="str">
        <f>T("1310")</f>
        <v>1310</v>
      </c>
      <c r="E3994" t="str">
        <f t="shared" si="528"/>
        <v>담화공</v>
      </c>
      <c r="H3994" t="str">
        <f t="shared" si="527"/>
        <v>스토리위즈</v>
      </c>
      <c r="I3994" t="str">
        <f t="shared" si="529"/>
        <v>디버프 마스터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>
        <v>70</v>
      </c>
      <c r="AT3994" t="str">
        <f t="shared" si="530"/>
        <v>9791137602663</v>
      </c>
      <c r="AV3994" t="str">
        <f t="shared" si="531"/>
        <v>판타지 웹소설 &gt; 퓨전 판타지</v>
      </c>
    </row>
    <row r="3995" spans="1:48" x14ac:dyDescent="0.4">
      <c r="A3995">
        <v>2313012849</v>
      </c>
      <c r="B3995">
        <v>2313014159</v>
      </c>
      <c r="C3995" t="str">
        <f>T("디버프 마스터 1311화")</f>
        <v>디버프 마스터 1311화</v>
      </c>
      <c r="D3995" t="str">
        <f>T("1311")</f>
        <v>1311</v>
      </c>
      <c r="E3995" t="str">
        <f t="shared" si="528"/>
        <v>담화공</v>
      </c>
      <c r="H3995" t="str">
        <f t="shared" si="527"/>
        <v>스토리위즈</v>
      </c>
      <c r="I3995" t="str">
        <f t="shared" si="529"/>
        <v>디버프 마스터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>
        <v>70</v>
      </c>
      <c r="AT3995" t="str">
        <f t="shared" si="530"/>
        <v>9791137602663</v>
      </c>
      <c r="AV3995" t="str">
        <f t="shared" si="531"/>
        <v>판타지 웹소설 &gt; 퓨전 판타지</v>
      </c>
    </row>
    <row r="3996" spans="1:48" x14ac:dyDescent="0.4">
      <c r="A3996">
        <v>2313012849</v>
      </c>
      <c r="B3996">
        <v>2313014160</v>
      </c>
      <c r="C3996" t="str">
        <f>T("디버프 마스터 1312화")</f>
        <v>디버프 마스터 1312화</v>
      </c>
      <c r="D3996" t="str">
        <f>T("1312")</f>
        <v>1312</v>
      </c>
      <c r="E3996" t="str">
        <f t="shared" si="528"/>
        <v>담화공</v>
      </c>
      <c r="H3996" t="str">
        <f t="shared" si="527"/>
        <v>스토리위즈</v>
      </c>
      <c r="I3996" t="str">
        <f t="shared" si="529"/>
        <v>디버프 마스터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>
        <v>70</v>
      </c>
      <c r="AT3996" t="str">
        <f t="shared" si="530"/>
        <v>9791137602663</v>
      </c>
      <c r="AV3996" t="str">
        <f t="shared" si="531"/>
        <v>판타지 웹소설 &gt; 퓨전 판타지</v>
      </c>
    </row>
    <row r="3997" spans="1:48" x14ac:dyDescent="0.4">
      <c r="A3997">
        <v>2313012849</v>
      </c>
      <c r="B3997">
        <v>2313014161</v>
      </c>
      <c r="C3997" t="str">
        <f>T("디버프 마스터 1313화")</f>
        <v>디버프 마스터 1313화</v>
      </c>
      <c r="D3997" t="str">
        <f>T("1313")</f>
        <v>1313</v>
      </c>
      <c r="E3997" t="str">
        <f t="shared" si="528"/>
        <v>담화공</v>
      </c>
      <c r="H3997" t="str">
        <f t="shared" si="527"/>
        <v>스토리위즈</v>
      </c>
      <c r="I3997" t="str">
        <f t="shared" si="529"/>
        <v>디버프 마스터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>
        <v>70</v>
      </c>
      <c r="AT3997" t="str">
        <f t="shared" si="530"/>
        <v>9791137602663</v>
      </c>
      <c r="AV3997" t="str">
        <f t="shared" si="531"/>
        <v>판타지 웹소설 &gt; 퓨전 판타지</v>
      </c>
    </row>
    <row r="3998" spans="1:48" x14ac:dyDescent="0.4">
      <c r="A3998">
        <v>2313012849</v>
      </c>
      <c r="B3998">
        <v>2313014162</v>
      </c>
      <c r="C3998" t="str">
        <f>T("디버프 마스터 1314화")</f>
        <v>디버프 마스터 1314화</v>
      </c>
      <c r="D3998" t="str">
        <f>T("1314")</f>
        <v>1314</v>
      </c>
      <c r="E3998" t="str">
        <f t="shared" si="528"/>
        <v>담화공</v>
      </c>
      <c r="H3998" t="str">
        <f t="shared" si="527"/>
        <v>스토리위즈</v>
      </c>
      <c r="I3998" t="str">
        <f t="shared" si="529"/>
        <v>디버프 마스터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>
        <v>70</v>
      </c>
      <c r="AT3998" t="str">
        <f t="shared" si="530"/>
        <v>9791137602663</v>
      </c>
      <c r="AV3998" t="str">
        <f t="shared" si="531"/>
        <v>판타지 웹소설 &gt; 퓨전 판타지</v>
      </c>
    </row>
    <row r="3999" spans="1:48" x14ac:dyDescent="0.4">
      <c r="A3999">
        <v>2313012849</v>
      </c>
      <c r="B3999">
        <v>2313014163</v>
      </c>
      <c r="C3999" t="str">
        <f>T("디버프 마스터 1315화")</f>
        <v>디버프 마스터 1315화</v>
      </c>
      <c r="D3999" t="str">
        <f>T("1315")</f>
        <v>1315</v>
      </c>
      <c r="E3999" t="str">
        <f t="shared" si="528"/>
        <v>담화공</v>
      </c>
      <c r="H3999" t="str">
        <f t="shared" si="527"/>
        <v>스토리위즈</v>
      </c>
      <c r="I3999" t="str">
        <f t="shared" si="529"/>
        <v>디버프 마스터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>
        <v>70</v>
      </c>
      <c r="AT3999" t="str">
        <f t="shared" si="530"/>
        <v>9791137602663</v>
      </c>
      <c r="AV3999" t="str">
        <f t="shared" si="531"/>
        <v>판타지 웹소설 &gt; 퓨전 판타지</v>
      </c>
    </row>
    <row r="4000" spans="1:48" x14ac:dyDescent="0.4">
      <c r="A4000">
        <v>2313012849</v>
      </c>
      <c r="B4000">
        <v>2313014164</v>
      </c>
      <c r="C4000" t="str">
        <f>T("디버프 마스터 1316화")</f>
        <v>디버프 마스터 1316화</v>
      </c>
      <c r="D4000" t="str">
        <f>T("1316")</f>
        <v>1316</v>
      </c>
      <c r="E4000" t="str">
        <f t="shared" si="528"/>
        <v>담화공</v>
      </c>
      <c r="H4000" t="str">
        <f t="shared" si="527"/>
        <v>스토리위즈</v>
      </c>
      <c r="I4000" t="str">
        <f t="shared" si="529"/>
        <v>디버프 마스터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>
        <v>70</v>
      </c>
      <c r="AT4000" t="str">
        <f t="shared" si="530"/>
        <v>9791137602663</v>
      </c>
      <c r="AV4000" t="str">
        <f t="shared" si="531"/>
        <v>판타지 웹소설 &gt; 퓨전 판타지</v>
      </c>
    </row>
    <row r="4001" spans="1:48" x14ac:dyDescent="0.4">
      <c r="A4001">
        <v>2313012849</v>
      </c>
      <c r="B4001">
        <v>2313014165</v>
      </c>
      <c r="C4001" t="str">
        <f>T("디버프 마스터 1317화")</f>
        <v>디버프 마스터 1317화</v>
      </c>
      <c r="D4001" t="str">
        <f>T("1317")</f>
        <v>1317</v>
      </c>
      <c r="E4001" t="str">
        <f t="shared" si="528"/>
        <v>담화공</v>
      </c>
      <c r="H4001" t="str">
        <f t="shared" si="527"/>
        <v>스토리위즈</v>
      </c>
      <c r="I4001" t="str">
        <f t="shared" si="529"/>
        <v>디버프 마스터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>
        <v>70</v>
      </c>
      <c r="AT4001" t="str">
        <f t="shared" si="530"/>
        <v>9791137602663</v>
      </c>
      <c r="AV4001" t="str">
        <f t="shared" si="531"/>
        <v>판타지 웹소설 &gt; 퓨전 판타지</v>
      </c>
    </row>
    <row r="4002" spans="1:48" x14ac:dyDescent="0.4">
      <c r="A4002">
        <v>2313012849</v>
      </c>
      <c r="B4002">
        <v>2313014166</v>
      </c>
      <c r="C4002" t="str">
        <f>T("디버프 마스터 1318화")</f>
        <v>디버프 마스터 1318화</v>
      </c>
      <c r="D4002" t="str">
        <f>T("1318")</f>
        <v>1318</v>
      </c>
      <c r="E4002" t="str">
        <f t="shared" si="528"/>
        <v>담화공</v>
      </c>
      <c r="H4002" t="str">
        <f t="shared" si="527"/>
        <v>스토리위즈</v>
      </c>
      <c r="I4002" t="str">
        <f t="shared" si="529"/>
        <v>디버프 마스터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>
        <v>70</v>
      </c>
      <c r="AT4002" t="str">
        <f t="shared" si="530"/>
        <v>9791137602663</v>
      </c>
      <c r="AV4002" t="str">
        <f t="shared" si="531"/>
        <v>판타지 웹소설 &gt; 퓨전 판타지</v>
      </c>
    </row>
    <row r="4003" spans="1:48" x14ac:dyDescent="0.4">
      <c r="A4003">
        <v>2313012849</v>
      </c>
      <c r="B4003">
        <v>2313014167</v>
      </c>
      <c r="C4003" t="str">
        <f>T("디버프 마스터 1319화")</f>
        <v>디버프 마스터 1319화</v>
      </c>
      <c r="D4003" t="str">
        <f>T("1319")</f>
        <v>1319</v>
      </c>
      <c r="E4003" t="str">
        <f t="shared" si="528"/>
        <v>담화공</v>
      </c>
      <c r="H4003" t="str">
        <f t="shared" si="527"/>
        <v>스토리위즈</v>
      </c>
      <c r="I4003" t="str">
        <f t="shared" si="529"/>
        <v>디버프 마스터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>
        <v>70</v>
      </c>
      <c r="AT4003" t="str">
        <f t="shared" si="530"/>
        <v>9791137602663</v>
      </c>
      <c r="AV4003" t="str">
        <f t="shared" si="531"/>
        <v>판타지 웹소설 &gt; 퓨전 판타지</v>
      </c>
    </row>
    <row r="4004" spans="1:48" x14ac:dyDescent="0.4">
      <c r="A4004">
        <v>2313012849</v>
      </c>
      <c r="B4004">
        <v>2313014168</v>
      </c>
      <c r="C4004" t="str">
        <f>T("디버프 마스터 1320화")</f>
        <v>디버프 마스터 1320화</v>
      </c>
      <c r="D4004" t="str">
        <f>T("1320")</f>
        <v>1320</v>
      </c>
      <c r="E4004" t="str">
        <f t="shared" si="528"/>
        <v>담화공</v>
      </c>
      <c r="H4004" t="str">
        <f t="shared" si="527"/>
        <v>스토리위즈</v>
      </c>
      <c r="I4004" t="str">
        <f t="shared" si="529"/>
        <v>디버프 마스터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>
        <v>70</v>
      </c>
      <c r="AT4004" t="str">
        <f t="shared" si="530"/>
        <v>9791137602663</v>
      </c>
      <c r="AV4004" t="str">
        <f t="shared" si="531"/>
        <v>판타지 웹소설 &gt; 퓨전 판타지</v>
      </c>
    </row>
    <row r="4005" spans="1:48" x14ac:dyDescent="0.4">
      <c r="A4005">
        <v>2313012849</v>
      </c>
      <c r="B4005">
        <v>2313014169</v>
      </c>
      <c r="C4005" t="str">
        <f>T("디버프 마스터 1321화")</f>
        <v>디버프 마스터 1321화</v>
      </c>
      <c r="D4005" t="str">
        <f>T("1321")</f>
        <v>1321</v>
      </c>
      <c r="E4005" t="str">
        <f t="shared" si="528"/>
        <v>담화공</v>
      </c>
      <c r="H4005" t="str">
        <f t="shared" si="527"/>
        <v>스토리위즈</v>
      </c>
      <c r="I4005" t="str">
        <f t="shared" si="529"/>
        <v>디버프 마스터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>
        <v>70</v>
      </c>
      <c r="AT4005" t="str">
        <f t="shared" si="530"/>
        <v>9791137602663</v>
      </c>
      <c r="AV4005" t="str">
        <f t="shared" si="531"/>
        <v>판타지 웹소설 &gt; 퓨전 판타지</v>
      </c>
    </row>
    <row r="4006" spans="1:48" x14ac:dyDescent="0.4">
      <c r="A4006">
        <v>2313012849</v>
      </c>
      <c r="B4006">
        <v>2313014170</v>
      </c>
      <c r="C4006" t="str">
        <f>T("디버프 마스터 1322화")</f>
        <v>디버프 마스터 1322화</v>
      </c>
      <c r="D4006" t="str">
        <f>T("1322")</f>
        <v>1322</v>
      </c>
      <c r="E4006" t="str">
        <f t="shared" si="528"/>
        <v>담화공</v>
      </c>
      <c r="H4006" t="str">
        <f t="shared" si="527"/>
        <v>스토리위즈</v>
      </c>
      <c r="I4006" t="str">
        <f t="shared" si="529"/>
        <v>디버프 마스터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>
        <v>70</v>
      </c>
      <c r="AT4006" t="str">
        <f t="shared" si="530"/>
        <v>9791137602663</v>
      </c>
      <c r="AV4006" t="str">
        <f t="shared" si="531"/>
        <v>판타지 웹소설 &gt; 퓨전 판타지</v>
      </c>
    </row>
    <row r="4007" spans="1:48" x14ac:dyDescent="0.4">
      <c r="A4007">
        <v>2313012849</v>
      </c>
      <c r="B4007">
        <v>2313014171</v>
      </c>
      <c r="C4007" t="str">
        <f>T("디버프 마스터 1323화")</f>
        <v>디버프 마스터 1323화</v>
      </c>
      <c r="D4007" t="str">
        <f>T("1323")</f>
        <v>1323</v>
      </c>
      <c r="E4007" t="str">
        <f t="shared" si="528"/>
        <v>담화공</v>
      </c>
      <c r="H4007" t="str">
        <f t="shared" si="527"/>
        <v>스토리위즈</v>
      </c>
      <c r="I4007" t="str">
        <f t="shared" si="529"/>
        <v>디버프 마스터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>
        <v>70</v>
      </c>
      <c r="AT4007" t="str">
        <f t="shared" si="530"/>
        <v>9791137602663</v>
      </c>
      <c r="AV4007" t="str">
        <f t="shared" si="531"/>
        <v>판타지 웹소설 &gt; 퓨전 판타지</v>
      </c>
    </row>
    <row r="4008" spans="1:48" x14ac:dyDescent="0.4">
      <c r="A4008">
        <v>2313012849</v>
      </c>
      <c r="B4008">
        <v>2313014172</v>
      </c>
      <c r="C4008" t="str">
        <f>T("디버프 마스터 1324화")</f>
        <v>디버프 마스터 1324화</v>
      </c>
      <c r="D4008" t="str">
        <f>T("1324")</f>
        <v>1324</v>
      </c>
      <c r="E4008" t="str">
        <f t="shared" si="528"/>
        <v>담화공</v>
      </c>
      <c r="H4008" t="str">
        <f t="shared" si="527"/>
        <v>스토리위즈</v>
      </c>
      <c r="I4008" t="str">
        <f t="shared" si="529"/>
        <v>디버프 마스터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>
        <v>70</v>
      </c>
      <c r="AT4008" t="str">
        <f t="shared" si="530"/>
        <v>9791137602663</v>
      </c>
      <c r="AV4008" t="str">
        <f t="shared" si="531"/>
        <v>판타지 웹소설 &gt; 퓨전 판타지</v>
      </c>
    </row>
    <row r="4009" spans="1:48" x14ac:dyDescent="0.4">
      <c r="A4009">
        <v>2313012849</v>
      </c>
      <c r="B4009">
        <v>2313014173</v>
      </c>
      <c r="C4009" t="str">
        <f>T("디버프 마스터 1325화 (완결)")</f>
        <v>디버프 마스터 1325화 (완결)</v>
      </c>
      <c r="D4009" t="str">
        <f>T("1325")</f>
        <v>1325</v>
      </c>
      <c r="E4009" t="str">
        <f t="shared" si="528"/>
        <v>담화공</v>
      </c>
      <c r="H4009" t="str">
        <f t="shared" si="527"/>
        <v>스토리위즈</v>
      </c>
      <c r="I4009" t="str">
        <f t="shared" si="529"/>
        <v>디버프 마스터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>
        <v>70</v>
      </c>
      <c r="AT4009" t="str">
        <f t="shared" si="530"/>
        <v>9791137602663</v>
      </c>
      <c r="AV4009" t="str">
        <f t="shared" si="531"/>
        <v>판타지 웹소설 &gt; 퓨전 판타지</v>
      </c>
    </row>
    <row r="4010" spans="1:48" x14ac:dyDescent="0.4">
      <c r="A4010">
        <v>2313014405</v>
      </c>
      <c r="B4010">
        <v>2313014430</v>
      </c>
      <c r="C4010" t="str">
        <f>T("낚싯대 하나로 세계최강 26화")</f>
        <v>낚싯대 하나로 세계최강 26화</v>
      </c>
      <c r="D4010" t="str">
        <f>T("26")</f>
        <v>26</v>
      </c>
      <c r="E4010" t="str">
        <f>T("단팥크림빵7")</f>
        <v>단팥크림빵7</v>
      </c>
      <c r="H4010" t="str">
        <f t="shared" si="527"/>
        <v>스토리위즈</v>
      </c>
      <c r="I4010" t="str">
        <f>T("낚싯대 하나로 세계최강")</f>
        <v>낚싯대 하나로 세계최강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>
        <v>70</v>
      </c>
      <c r="AT4010" t="str">
        <f>T("9791137600690")</f>
        <v>9791137600690</v>
      </c>
      <c r="AV4010" t="str">
        <f t="shared" si="531"/>
        <v>판타지 웹소설 &gt; 퓨전 판타지</v>
      </c>
    </row>
    <row r="4011" spans="1:48" x14ac:dyDescent="0.4">
      <c r="A4011">
        <v>2313014405</v>
      </c>
      <c r="B4011">
        <v>2313014432</v>
      </c>
      <c r="C4011" t="str">
        <f>T("낚싯대 하나로 세계최강 28화")</f>
        <v>낚싯대 하나로 세계최강 28화</v>
      </c>
      <c r="D4011" t="str">
        <f>T("28")</f>
        <v>28</v>
      </c>
      <c r="E4011" t="str">
        <f>T("단팥크림빵7")</f>
        <v>단팥크림빵7</v>
      </c>
      <c r="H4011" t="str">
        <f t="shared" si="527"/>
        <v>스토리위즈</v>
      </c>
      <c r="I4011" t="str">
        <f>T("낚싯대 하나로 세계최강")</f>
        <v>낚싯대 하나로 세계최강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>
        <v>70</v>
      </c>
      <c r="AT4011" t="str">
        <f>T("9791137600690")</f>
        <v>9791137600690</v>
      </c>
      <c r="AV4011" t="str">
        <f t="shared" si="531"/>
        <v>판타지 웹소설 &gt; 퓨전 판타지</v>
      </c>
    </row>
    <row r="4012" spans="1:48" x14ac:dyDescent="0.4">
      <c r="A4012">
        <v>2313015349</v>
      </c>
      <c r="B4012">
        <v>2313015374</v>
      </c>
      <c r="C4012" t="str">
        <f>T("버그 걸린 드래곤 26화")</f>
        <v>버그 걸린 드래곤 26화</v>
      </c>
      <c r="D4012" t="str">
        <f>T("26")</f>
        <v>26</v>
      </c>
      <c r="E4012" t="str">
        <f t="shared" ref="E4012:E4027" si="532">T("폴딩")</f>
        <v>폴딩</v>
      </c>
      <c r="H4012" t="str">
        <f t="shared" si="527"/>
        <v>스토리위즈</v>
      </c>
      <c r="I4012" t="str">
        <f t="shared" ref="I4012:I4027" si="533">T("버그 걸린 드래곤")</f>
        <v>버그 걸린 드래곤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>
        <v>70</v>
      </c>
      <c r="AT4012" t="str">
        <f t="shared" ref="AT4012:AT4027" si="534">T("9791137601321")</f>
        <v>9791137601321</v>
      </c>
      <c r="AV4012" t="str">
        <f t="shared" si="531"/>
        <v>판타지 웹소설 &gt; 퓨전 판타지</v>
      </c>
    </row>
    <row r="4013" spans="1:48" x14ac:dyDescent="0.4">
      <c r="A4013">
        <v>2313015349</v>
      </c>
      <c r="B4013">
        <v>2313015375</v>
      </c>
      <c r="C4013" t="str">
        <f>T("버그 걸린 드래곤 27화")</f>
        <v>버그 걸린 드래곤 27화</v>
      </c>
      <c r="D4013" t="str">
        <f>T("27")</f>
        <v>27</v>
      </c>
      <c r="E4013" t="str">
        <f t="shared" si="532"/>
        <v>폴딩</v>
      </c>
      <c r="H4013" t="str">
        <f t="shared" si="527"/>
        <v>스토리위즈</v>
      </c>
      <c r="I4013" t="str">
        <f t="shared" si="533"/>
        <v>버그 걸린 드래곤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>
        <v>70</v>
      </c>
      <c r="AT4013" t="str">
        <f t="shared" si="534"/>
        <v>9791137601321</v>
      </c>
      <c r="AV4013" t="str">
        <f t="shared" si="531"/>
        <v>판타지 웹소설 &gt; 퓨전 판타지</v>
      </c>
    </row>
    <row r="4014" spans="1:48" x14ac:dyDescent="0.4">
      <c r="A4014">
        <v>2313015349</v>
      </c>
      <c r="B4014">
        <v>2313015376</v>
      </c>
      <c r="C4014" t="str">
        <f>T("버그 걸린 드래곤 28화")</f>
        <v>버그 걸린 드래곤 28화</v>
      </c>
      <c r="D4014" t="str">
        <f>T("28")</f>
        <v>28</v>
      </c>
      <c r="E4014" t="str">
        <f t="shared" si="532"/>
        <v>폴딩</v>
      </c>
      <c r="H4014" t="str">
        <f t="shared" si="527"/>
        <v>스토리위즈</v>
      </c>
      <c r="I4014" t="str">
        <f t="shared" si="533"/>
        <v>버그 걸린 드래곤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>
        <v>70</v>
      </c>
      <c r="AT4014" t="str">
        <f t="shared" si="534"/>
        <v>9791137601321</v>
      </c>
      <c r="AV4014" t="str">
        <f t="shared" si="531"/>
        <v>판타지 웹소설 &gt; 퓨전 판타지</v>
      </c>
    </row>
    <row r="4015" spans="1:48" x14ac:dyDescent="0.4">
      <c r="A4015">
        <v>2313015349</v>
      </c>
      <c r="B4015">
        <v>2313015377</v>
      </c>
      <c r="C4015" t="str">
        <f>T("버그 걸린 드래곤 29화")</f>
        <v>버그 걸린 드래곤 29화</v>
      </c>
      <c r="D4015" t="str">
        <f>T("29")</f>
        <v>29</v>
      </c>
      <c r="E4015" t="str">
        <f t="shared" si="532"/>
        <v>폴딩</v>
      </c>
      <c r="H4015" t="str">
        <f t="shared" si="527"/>
        <v>스토리위즈</v>
      </c>
      <c r="I4015" t="str">
        <f t="shared" si="533"/>
        <v>버그 걸린 드래곤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>
        <v>70</v>
      </c>
      <c r="AT4015" t="str">
        <f t="shared" si="534"/>
        <v>9791137601321</v>
      </c>
      <c r="AV4015" t="str">
        <f t="shared" si="531"/>
        <v>판타지 웹소설 &gt; 퓨전 판타지</v>
      </c>
    </row>
    <row r="4016" spans="1:48" x14ac:dyDescent="0.4">
      <c r="A4016">
        <v>2313015349</v>
      </c>
      <c r="B4016">
        <v>2313015378</v>
      </c>
      <c r="C4016" t="str">
        <f>T("버그 걸린 드래곤 30화")</f>
        <v>버그 걸린 드래곤 30화</v>
      </c>
      <c r="D4016" t="str">
        <f>T("30")</f>
        <v>30</v>
      </c>
      <c r="E4016" t="str">
        <f t="shared" si="532"/>
        <v>폴딩</v>
      </c>
      <c r="H4016" t="str">
        <f t="shared" si="527"/>
        <v>스토리위즈</v>
      </c>
      <c r="I4016" t="str">
        <f t="shared" si="533"/>
        <v>버그 걸린 드래곤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>
        <v>70</v>
      </c>
      <c r="AT4016" t="str">
        <f t="shared" si="534"/>
        <v>9791137601321</v>
      </c>
      <c r="AV4016" t="str">
        <f t="shared" si="531"/>
        <v>판타지 웹소설 &gt; 퓨전 판타지</v>
      </c>
    </row>
    <row r="4017" spans="1:48" x14ac:dyDescent="0.4">
      <c r="A4017">
        <v>2313015349</v>
      </c>
      <c r="B4017">
        <v>2313015379</v>
      </c>
      <c r="C4017" t="str">
        <f>T("버그 걸린 드래곤 31화")</f>
        <v>버그 걸린 드래곤 31화</v>
      </c>
      <c r="D4017" t="str">
        <f>T("31")</f>
        <v>31</v>
      </c>
      <c r="E4017" t="str">
        <f t="shared" si="532"/>
        <v>폴딩</v>
      </c>
      <c r="H4017" t="str">
        <f t="shared" si="527"/>
        <v>스토리위즈</v>
      </c>
      <c r="I4017" t="str">
        <f t="shared" si="533"/>
        <v>버그 걸린 드래곤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>
        <v>70</v>
      </c>
      <c r="AT4017" t="str">
        <f t="shared" si="534"/>
        <v>9791137601321</v>
      </c>
      <c r="AV4017" t="str">
        <f t="shared" si="531"/>
        <v>판타지 웹소설 &gt; 퓨전 판타지</v>
      </c>
    </row>
    <row r="4018" spans="1:48" x14ac:dyDescent="0.4">
      <c r="A4018">
        <v>2313015349</v>
      </c>
      <c r="B4018">
        <v>2313015380</v>
      </c>
      <c r="C4018" t="str">
        <f>T("버그 걸린 드래곤 32화")</f>
        <v>버그 걸린 드래곤 32화</v>
      </c>
      <c r="D4018" t="str">
        <f>T("32")</f>
        <v>32</v>
      </c>
      <c r="E4018" t="str">
        <f t="shared" si="532"/>
        <v>폴딩</v>
      </c>
      <c r="H4018" t="str">
        <f t="shared" si="527"/>
        <v>스토리위즈</v>
      </c>
      <c r="I4018" t="str">
        <f t="shared" si="533"/>
        <v>버그 걸린 드래곤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>
        <v>70</v>
      </c>
      <c r="AT4018" t="str">
        <f t="shared" si="534"/>
        <v>9791137601321</v>
      </c>
      <c r="AV4018" t="str">
        <f t="shared" si="531"/>
        <v>판타지 웹소설 &gt; 퓨전 판타지</v>
      </c>
    </row>
    <row r="4019" spans="1:48" x14ac:dyDescent="0.4">
      <c r="A4019">
        <v>2313015349</v>
      </c>
      <c r="B4019">
        <v>2313015381</v>
      </c>
      <c r="C4019" t="str">
        <f>T("버그 걸린 드래곤 33화")</f>
        <v>버그 걸린 드래곤 33화</v>
      </c>
      <c r="D4019" t="str">
        <f>T("33")</f>
        <v>33</v>
      </c>
      <c r="E4019" t="str">
        <f t="shared" si="532"/>
        <v>폴딩</v>
      </c>
      <c r="H4019" t="str">
        <f t="shared" si="527"/>
        <v>스토리위즈</v>
      </c>
      <c r="I4019" t="str">
        <f t="shared" si="533"/>
        <v>버그 걸린 드래곤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70</v>
      </c>
      <c r="AT4019" t="str">
        <f t="shared" si="534"/>
        <v>9791137601321</v>
      </c>
      <c r="AV4019" t="str">
        <f t="shared" si="531"/>
        <v>판타지 웹소설 &gt; 퓨전 판타지</v>
      </c>
    </row>
    <row r="4020" spans="1:48" x14ac:dyDescent="0.4">
      <c r="A4020">
        <v>2313015349</v>
      </c>
      <c r="B4020">
        <v>2313015382</v>
      </c>
      <c r="C4020" t="str">
        <f>T("버그 걸린 드래곤 34화")</f>
        <v>버그 걸린 드래곤 34화</v>
      </c>
      <c r="D4020" t="str">
        <f>T("34")</f>
        <v>34</v>
      </c>
      <c r="E4020" t="str">
        <f t="shared" si="532"/>
        <v>폴딩</v>
      </c>
      <c r="H4020" t="str">
        <f t="shared" si="527"/>
        <v>스토리위즈</v>
      </c>
      <c r="I4020" t="str">
        <f t="shared" si="533"/>
        <v>버그 걸린 드래곤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70</v>
      </c>
      <c r="AT4020" t="str">
        <f t="shared" si="534"/>
        <v>9791137601321</v>
      </c>
      <c r="AV4020" t="str">
        <f t="shared" si="531"/>
        <v>판타지 웹소설 &gt; 퓨전 판타지</v>
      </c>
    </row>
    <row r="4021" spans="1:48" x14ac:dyDescent="0.4">
      <c r="A4021">
        <v>2313015349</v>
      </c>
      <c r="B4021">
        <v>2313015383</v>
      </c>
      <c r="C4021" t="str">
        <f>T("버그 걸린 드래곤 35화")</f>
        <v>버그 걸린 드래곤 35화</v>
      </c>
      <c r="D4021" t="str">
        <f>T("35")</f>
        <v>35</v>
      </c>
      <c r="E4021" t="str">
        <f t="shared" si="532"/>
        <v>폴딩</v>
      </c>
      <c r="H4021" t="str">
        <f t="shared" si="527"/>
        <v>스토리위즈</v>
      </c>
      <c r="I4021" t="str">
        <f t="shared" si="533"/>
        <v>버그 걸린 드래곤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70</v>
      </c>
      <c r="AT4021" t="str">
        <f t="shared" si="534"/>
        <v>9791137601321</v>
      </c>
      <c r="AV4021" t="str">
        <f t="shared" si="531"/>
        <v>판타지 웹소설 &gt; 퓨전 판타지</v>
      </c>
    </row>
    <row r="4022" spans="1:48" x14ac:dyDescent="0.4">
      <c r="A4022">
        <v>2313015349</v>
      </c>
      <c r="B4022">
        <v>2313015384</v>
      </c>
      <c r="C4022" t="str">
        <f>T("버그 걸린 드래곤 36화")</f>
        <v>버그 걸린 드래곤 36화</v>
      </c>
      <c r="D4022" t="str">
        <f>T("36")</f>
        <v>36</v>
      </c>
      <c r="E4022" t="str">
        <f t="shared" si="532"/>
        <v>폴딩</v>
      </c>
      <c r="H4022" t="str">
        <f t="shared" si="527"/>
        <v>스토리위즈</v>
      </c>
      <c r="I4022" t="str">
        <f t="shared" si="533"/>
        <v>버그 걸린 드래곤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70</v>
      </c>
      <c r="AT4022" t="str">
        <f t="shared" si="534"/>
        <v>9791137601321</v>
      </c>
      <c r="AV4022" t="str">
        <f t="shared" si="531"/>
        <v>판타지 웹소설 &gt; 퓨전 판타지</v>
      </c>
    </row>
    <row r="4023" spans="1:48" x14ac:dyDescent="0.4">
      <c r="A4023">
        <v>2313015349</v>
      </c>
      <c r="B4023">
        <v>2313015385</v>
      </c>
      <c r="C4023" t="str">
        <f>T("버그 걸린 드래곤 37화")</f>
        <v>버그 걸린 드래곤 37화</v>
      </c>
      <c r="D4023" t="str">
        <f>T("37")</f>
        <v>37</v>
      </c>
      <c r="E4023" t="str">
        <f t="shared" si="532"/>
        <v>폴딩</v>
      </c>
      <c r="H4023" t="str">
        <f t="shared" si="527"/>
        <v>스토리위즈</v>
      </c>
      <c r="I4023" t="str">
        <f t="shared" si="533"/>
        <v>버그 걸린 드래곤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70</v>
      </c>
      <c r="AT4023" t="str">
        <f t="shared" si="534"/>
        <v>9791137601321</v>
      </c>
      <c r="AV4023" t="str">
        <f t="shared" si="531"/>
        <v>판타지 웹소설 &gt; 퓨전 판타지</v>
      </c>
    </row>
    <row r="4024" spans="1:48" x14ac:dyDescent="0.4">
      <c r="A4024">
        <v>2313015349</v>
      </c>
      <c r="B4024">
        <v>2313015386</v>
      </c>
      <c r="C4024" t="str">
        <f>T("버그 걸린 드래곤 38화")</f>
        <v>버그 걸린 드래곤 38화</v>
      </c>
      <c r="D4024" t="str">
        <f>T("38")</f>
        <v>38</v>
      </c>
      <c r="E4024" t="str">
        <f t="shared" si="532"/>
        <v>폴딩</v>
      </c>
      <c r="H4024" t="str">
        <f t="shared" si="527"/>
        <v>스토리위즈</v>
      </c>
      <c r="I4024" t="str">
        <f t="shared" si="533"/>
        <v>버그 걸린 드래곤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>
        <v>70</v>
      </c>
      <c r="AT4024" t="str">
        <f t="shared" si="534"/>
        <v>9791137601321</v>
      </c>
      <c r="AV4024" t="str">
        <f t="shared" si="531"/>
        <v>판타지 웹소설 &gt; 퓨전 판타지</v>
      </c>
    </row>
    <row r="4025" spans="1:48" x14ac:dyDescent="0.4">
      <c r="A4025">
        <v>2313015349</v>
      </c>
      <c r="B4025">
        <v>2313015387</v>
      </c>
      <c r="C4025" t="str">
        <f>T("버그 걸린 드래곤 39화")</f>
        <v>버그 걸린 드래곤 39화</v>
      </c>
      <c r="D4025" t="str">
        <f>T("39")</f>
        <v>39</v>
      </c>
      <c r="E4025" t="str">
        <f t="shared" si="532"/>
        <v>폴딩</v>
      </c>
      <c r="H4025" t="str">
        <f t="shared" ref="H4025:H4088" si="535">T("스토리위즈")</f>
        <v>스토리위즈</v>
      </c>
      <c r="I4025" t="str">
        <f t="shared" si="533"/>
        <v>버그 걸린 드래곤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>
        <v>70</v>
      </c>
      <c r="AT4025" t="str">
        <f t="shared" si="534"/>
        <v>9791137601321</v>
      </c>
      <c r="AV4025" t="str">
        <f t="shared" si="531"/>
        <v>판타지 웹소설 &gt; 퓨전 판타지</v>
      </c>
    </row>
    <row r="4026" spans="1:48" x14ac:dyDescent="0.4">
      <c r="A4026">
        <v>2313015349</v>
      </c>
      <c r="B4026">
        <v>2313015388</v>
      </c>
      <c r="C4026" t="str">
        <f>T("버그 걸린 드래곤 40화")</f>
        <v>버그 걸린 드래곤 40화</v>
      </c>
      <c r="D4026" t="str">
        <f>T("40")</f>
        <v>40</v>
      </c>
      <c r="E4026" t="str">
        <f t="shared" si="532"/>
        <v>폴딩</v>
      </c>
      <c r="H4026" t="str">
        <f t="shared" si="535"/>
        <v>스토리위즈</v>
      </c>
      <c r="I4026" t="str">
        <f t="shared" si="533"/>
        <v>버그 걸린 드래곤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>
        <v>70</v>
      </c>
      <c r="AT4026" t="str">
        <f t="shared" si="534"/>
        <v>9791137601321</v>
      </c>
      <c r="AV4026" t="str">
        <f t="shared" si="531"/>
        <v>판타지 웹소설 &gt; 퓨전 판타지</v>
      </c>
    </row>
    <row r="4027" spans="1:48" x14ac:dyDescent="0.4">
      <c r="A4027">
        <v>2313015349</v>
      </c>
      <c r="B4027">
        <v>2313015389</v>
      </c>
      <c r="C4027" t="str">
        <f>T("버그 걸린 드래곤 41화")</f>
        <v>버그 걸린 드래곤 41화</v>
      </c>
      <c r="D4027" t="str">
        <f>T("41")</f>
        <v>41</v>
      </c>
      <c r="E4027" t="str">
        <f t="shared" si="532"/>
        <v>폴딩</v>
      </c>
      <c r="H4027" t="str">
        <f t="shared" si="535"/>
        <v>스토리위즈</v>
      </c>
      <c r="I4027" t="str">
        <f t="shared" si="533"/>
        <v>버그 걸린 드래곤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>
        <v>70</v>
      </c>
      <c r="AT4027" t="str">
        <f t="shared" si="534"/>
        <v>9791137601321</v>
      </c>
      <c r="AV4027" t="str">
        <f t="shared" si="531"/>
        <v>판타지 웹소설 &gt; 퓨전 판타지</v>
      </c>
    </row>
    <row r="4028" spans="1:48" x14ac:dyDescent="0.4">
      <c r="A4028">
        <v>2313015749</v>
      </c>
      <c r="B4028">
        <v>2313015778</v>
      </c>
      <c r="C4028" t="str">
        <f>T("원코인 게이머 아포칼립스 30화")</f>
        <v>원코인 게이머 아포칼립스 30화</v>
      </c>
      <c r="D4028" t="str">
        <f>T("30")</f>
        <v>30</v>
      </c>
      <c r="E4028" t="str">
        <f t="shared" ref="E4028:E4056" si="536">T("이한애비")</f>
        <v>이한애비</v>
      </c>
      <c r="H4028" t="str">
        <f t="shared" si="535"/>
        <v>스토리위즈</v>
      </c>
      <c r="I4028" t="str">
        <f t="shared" ref="I4028:I4056" si="537">T("원코인 게이머 아포칼립스")</f>
        <v>원코인 게이머 아포칼립스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>
        <v>70</v>
      </c>
      <c r="AT4028" t="str">
        <f t="shared" ref="AT4028:AT4056" si="538">T("9791137602779")</f>
        <v>9791137602779</v>
      </c>
      <c r="AV4028" t="str">
        <f t="shared" ref="AV4028:AV4091" si="539">T("판타지 웹소설 &gt; 현대 판타지")</f>
        <v>판타지 웹소설 &gt; 현대 판타지</v>
      </c>
    </row>
    <row r="4029" spans="1:48" x14ac:dyDescent="0.4">
      <c r="A4029">
        <v>2313015749</v>
      </c>
      <c r="B4029">
        <v>2313015779</v>
      </c>
      <c r="C4029" t="str">
        <f>T("원코인 게이머 아포칼립스 31화")</f>
        <v>원코인 게이머 아포칼립스 31화</v>
      </c>
      <c r="D4029" t="str">
        <f>T("31")</f>
        <v>31</v>
      </c>
      <c r="E4029" t="str">
        <f t="shared" si="536"/>
        <v>이한애비</v>
      </c>
      <c r="H4029" t="str">
        <f t="shared" si="535"/>
        <v>스토리위즈</v>
      </c>
      <c r="I4029" t="str">
        <f t="shared" si="537"/>
        <v>원코인 게이머 아포칼립스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>
        <v>70</v>
      </c>
      <c r="AT4029" t="str">
        <f t="shared" si="538"/>
        <v>9791137602779</v>
      </c>
      <c r="AV4029" t="str">
        <f t="shared" si="539"/>
        <v>판타지 웹소설 &gt; 현대 판타지</v>
      </c>
    </row>
    <row r="4030" spans="1:48" x14ac:dyDescent="0.4">
      <c r="A4030">
        <v>2313015749</v>
      </c>
      <c r="B4030">
        <v>2313015780</v>
      </c>
      <c r="C4030" t="str">
        <f>T("원코인 게이머 아포칼립스 32화")</f>
        <v>원코인 게이머 아포칼립스 32화</v>
      </c>
      <c r="D4030" t="str">
        <f>T("32")</f>
        <v>32</v>
      </c>
      <c r="E4030" t="str">
        <f t="shared" si="536"/>
        <v>이한애비</v>
      </c>
      <c r="H4030" t="str">
        <f t="shared" si="535"/>
        <v>스토리위즈</v>
      </c>
      <c r="I4030" t="str">
        <f t="shared" si="537"/>
        <v>원코인 게이머 아포칼립스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>
        <v>70</v>
      </c>
      <c r="AT4030" t="str">
        <f t="shared" si="538"/>
        <v>9791137602779</v>
      </c>
      <c r="AV4030" t="str">
        <f t="shared" si="539"/>
        <v>판타지 웹소설 &gt; 현대 판타지</v>
      </c>
    </row>
    <row r="4031" spans="1:48" x14ac:dyDescent="0.4">
      <c r="A4031">
        <v>2313015749</v>
      </c>
      <c r="B4031">
        <v>2313015781</v>
      </c>
      <c r="C4031" t="str">
        <f>T("원코인 게이머 아포칼립스 33화")</f>
        <v>원코인 게이머 아포칼립스 33화</v>
      </c>
      <c r="D4031" t="str">
        <f>T("33")</f>
        <v>33</v>
      </c>
      <c r="E4031" t="str">
        <f t="shared" si="536"/>
        <v>이한애비</v>
      </c>
      <c r="H4031" t="str">
        <f t="shared" si="535"/>
        <v>스토리위즈</v>
      </c>
      <c r="I4031" t="str">
        <f t="shared" si="537"/>
        <v>원코인 게이머 아포칼립스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>
        <v>70</v>
      </c>
      <c r="AT4031" t="str">
        <f t="shared" si="538"/>
        <v>9791137602779</v>
      </c>
      <c r="AV4031" t="str">
        <f t="shared" si="539"/>
        <v>판타지 웹소설 &gt; 현대 판타지</v>
      </c>
    </row>
    <row r="4032" spans="1:48" x14ac:dyDescent="0.4">
      <c r="A4032">
        <v>2313015749</v>
      </c>
      <c r="B4032">
        <v>2313015782</v>
      </c>
      <c r="C4032" t="str">
        <f>T("원코인 게이머 아포칼립스 34화")</f>
        <v>원코인 게이머 아포칼립스 34화</v>
      </c>
      <c r="D4032" t="str">
        <f>T("34")</f>
        <v>34</v>
      </c>
      <c r="E4032" t="str">
        <f t="shared" si="536"/>
        <v>이한애비</v>
      </c>
      <c r="H4032" t="str">
        <f t="shared" si="535"/>
        <v>스토리위즈</v>
      </c>
      <c r="I4032" t="str">
        <f t="shared" si="537"/>
        <v>원코인 게이머 아포칼립스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>
        <v>70</v>
      </c>
      <c r="AT4032" t="str">
        <f t="shared" si="538"/>
        <v>9791137602779</v>
      </c>
      <c r="AV4032" t="str">
        <f t="shared" si="539"/>
        <v>판타지 웹소설 &gt; 현대 판타지</v>
      </c>
    </row>
    <row r="4033" spans="1:48" x14ac:dyDescent="0.4">
      <c r="A4033">
        <v>2313015749</v>
      </c>
      <c r="B4033">
        <v>2313015783</v>
      </c>
      <c r="C4033" t="str">
        <f>T("원코인 게이머 아포칼립스 35화")</f>
        <v>원코인 게이머 아포칼립스 35화</v>
      </c>
      <c r="D4033" t="str">
        <f>T("35")</f>
        <v>35</v>
      </c>
      <c r="E4033" t="str">
        <f t="shared" si="536"/>
        <v>이한애비</v>
      </c>
      <c r="H4033" t="str">
        <f t="shared" si="535"/>
        <v>스토리위즈</v>
      </c>
      <c r="I4033" t="str">
        <f t="shared" si="537"/>
        <v>원코인 게이머 아포칼립스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>
        <v>70</v>
      </c>
      <c r="AT4033" t="str">
        <f t="shared" si="538"/>
        <v>9791137602779</v>
      </c>
      <c r="AV4033" t="str">
        <f t="shared" si="539"/>
        <v>판타지 웹소설 &gt; 현대 판타지</v>
      </c>
    </row>
    <row r="4034" spans="1:48" x14ac:dyDescent="0.4">
      <c r="A4034">
        <v>2313015749</v>
      </c>
      <c r="B4034">
        <v>2313015784</v>
      </c>
      <c r="C4034" t="str">
        <f>T("원코인 게이머 아포칼립스 36화")</f>
        <v>원코인 게이머 아포칼립스 36화</v>
      </c>
      <c r="D4034" t="str">
        <f>T("36")</f>
        <v>36</v>
      </c>
      <c r="E4034" t="str">
        <f t="shared" si="536"/>
        <v>이한애비</v>
      </c>
      <c r="H4034" t="str">
        <f t="shared" si="535"/>
        <v>스토리위즈</v>
      </c>
      <c r="I4034" t="str">
        <f t="shared" si="537"/>
        <v>원코인 게이머 아포칼립스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>
        <v>70</v>
      </c>
      <c r="AT4034" t="str">
        <f t="shared" si="538"/>
        <v>9791137602779</v>
      </c>
      <c r="AV4034" t="str">
        <f t="shared" si="539"/>
        <v>판타지 웹소설 &gt; 현대 판타지</v>
      </c>
    </row>
    <row r="4035" spans="1:48" x14ac:dyDescent="0.4">
      <c r="A4035">
        <v>2313015749</v>
      </c>
      <c r="B4035">
        <v>2313015785</v>
      </c>
      <c r="C4035" t="str">
        <f>T("원코인 게이머 아포칼립스 37화")</f>
        <v>원코인 게이머 아포칼립스 37화</v>
      </c>
      <c r="D4035" t="str">
        <f>T("37")</f>
        <v>37</v>
      </c>
      <c r="E4035" t="str">
        <f t="shared" si="536"/>
        <v>이한애비</v>
      </c>
      <c r="H4035" t="str">
        <f t="shared" si="535"/>
        <v>스토리위즈</v>
      </c>
      <c r="I4035" t="str">
        <f t="shared" si="537"/>
        <v>원코인 게이머 아포칼립스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>
        <v>70</v>
      </c>
      <c r="AT4035" t="str">
        <f t="shared" si="538"/>
        <v>9791137602779</v>
      </c>
      <c r="AV4035" t="str">
        <f t="shared" si="539"/>
        <v>판타지 웹소설 &gt; 현대 판타지</v>
      </c>
    </row>
    <row r="4036" spans="1:48" x14ac:dyDescent="0.4">
      <c r="A4036">
        <v>2313015749</v>
      </c>
      <c r="B4036">
        <v>2313015786</v>
      </c>
      <c r="C4036" t="str">
        <f>T("원코인 게이머 아포칼립스 38화")</f>
        <v>원코인 게이머 아포칼립스 38화</v>
      </c>
      <c r="D4036" t="str">
        <f>T("38")</f>
        <v>38</v>
      </c>
      <c r="E4036" t="str">
        <f t="shared" si="536"/>
        <v>이한애비</v>
      </c>
      <c r="H4036" t="str">
        <f t="shared" si="535"/>
        <v>스토리위즈</v>
      </c>
      <c r="I4036" t="str">
        <f t="shared" si="537"/>
        <v>원코인 게이머 아포칼립스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70</v>
      </c>
      <c r="AT4036" t="str">
        <f t="shared" si="538"/>
        <v>9791137602779</v>
      </c>
      <c r="AV4036" t="str">
        <f t="shared" si="539"/>
        <v>판타지 웹소설 &gt; 현대 판타지</v>
      </c>
    </row>
    <row r="4037" spans="1:48" x14ac:dyDescent="0.4">
      <c r="A4037">
        <v>2313015749</v>
      </c>
      <c r="B4037">
        <v>2313015787</v>
      </c>
      <c r="C4037" t="str">
        <f>T("원코인 게이머 아포칼립스 39화")</f>
        <v>원코인 게이머 아포칼립스 39화</v>
      </c>
      <c r="D4037" t="str">
        <f>T("39")</f>
        <v>39</v>
      </c>
      <c r="E4037" t="str">
        <f t="shared" si="536"/>
        <v>이한애비</v>
      </c>
      <c r="H4037" t="str">
        <f t="shared" si="535"/>
        <v>스토리위즈</v>
      </c>
      <c r="I4037" t="str">
        <f t="shared" si="537"/>
        <v>원코인 게이머 아포칼립스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70</v>
      </c>
      <c r="AT4037" t="str">
        <f t="shared" si="538"/>
        <v>9791137602779</v>
      </c>
      <c r="AV4037" t="str">
        <f t="shared" si="539"/>
        <v>판타지 웹소설 &gt; 현대 판타지</v>
      </c>
    </row>
    <row r="4038" spans="1:48" x14ac:dyDescent="0.4">
      <c r="A4038">
        <v>2313015749</v>
      </c>
      <c r="B4038">
        <v>2313015788</v>
      </c>
      <c r="C4038" t="str">
        <f>T("원코인 게이머 아포칼립스 40화")</f>
        <v>원코인 게이머 아포칼립스 40화</v>
      </c>
      <c r="D4038" t="str">
        <f>T("40")</f>
        <v>40</v>
      </c>
      <c r="E4038" t="str">
        <f t="shared" si="536"/>
        <v>이한애비</v>
      </c>
      <c r="H4038" t="str">
        <f t="shared" si="535"/>
        <v>스토리위즈</v>
      </c>
      <c r="I4038" t="str">
        <f t="shared" si="537"/>
        <v>원코인 게이머 아포칼립스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70</v>
      </c>
      <c r="AT4038" t="str">
        <f t="shared" si="538"/>
        <v>9791137602779</v>
      </c>
      <c r="AV4038" t="str">
        <f t="shared" si="539"/>
        <v>판타지 웹소설 &gt; 현대 판타지</v>
      </c>
    </row>
    <row r="4039" spans="1:48" x14ac:dyDescent="0.4">
      <c r="A4039">
        <v>2313015749</v>
      </c>
      <c r="B4039">
        <v>2313015789</v>
      </c>
      <c r="C4039" t="str">
        <f>T("원코인 게이머 아포칼립스 41화")</f>
        <v>원코인 게이머 아포칼립스 41화</v>
      </c>
      <c r="D4039" t="str">
        <f>T("41")</f>
        <v>41</v>
      </c>
      <c r="E4039" t="str">
        <f t="shared" si="536"/>
        <v>이한애비</v>
      </c>
      <c r="H4039" t="str">
        <f t="shared" si="535"/>
        <v>스토리위즈</v>
      </c>
      <c r="I4039" t="str">
        <f t="shared" si="537"/>
        <v>원코인 게이머 아포칼립스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>
        <v>70</v>
      </c>
      <c r="AT4039" t="str">
        <f t="shared" si="538"/>
        <v>9791137602779</v>
      </c>
      <c r="AV4039" t="str">
        <f t="shared" si="539"/>
        <v>판타지 웹소설 &gt; 현대 판타지</v>
      </c>
    </row>
    <row r="4040" spans="1:48" x14ac:dyDescent="0.4">
      <c r="A4040">
        <v>2313015749</v>
      </c>
      <c r="B4040">
        <v>2313015790</v>
      </c>
      <c r="C4040" t="str">
        <f>T("원코인 게이머 아포칼립스 42화")</f>
        <v>원코인 게이머 아포칼립스 42화</v>
      </c>
      <c r="D4040" t="str">
        <f>T("42")</f>
        <v>42</v>
      </c>
      <c r="E4040" t="str">
        <f t="shared" si="536"/>
        <v>이한애비</v>
      </c>
      <c r="H4040" t="str">
        <f t="shared" si="535"/>
        <v>스토리위즈</v>
      </c>
      <c r="I4040" t="str">
        <f t="shared" si="537"/>
        <v>원코인 게이머 아포칼립스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>
        <v>70</v>
      </c>
      <c r="AT4040" t="str">
        <f t="shared" si="538"/>
        <v>9791137602779</v>
      </c>
      <c r="AV4040" t="str">
        <f t="shared" si="539"/>
        <v>판타지 웹소설 &gt; 현대 판타지</v>
      </c>
    </row>
    <row r="4041" spans="1:48" x14ac:dyDescent="0.4">
      <c r="A4041">
        <v>2313015749</v>
      </c>
      <c r="B4041">
        <v>2313015791</v>
      </c>
      <c r="C4041" t="str">
        <f>T("원코인 게이머 아포칼립스 43화")</f>
        <v>원코인 게이머 아포칼립스 43화</v>
      </c>
      <c r="D4041" t="str">
        <f>T("43")</f>
        <v>43</v>
      </c>
      <c r="E4041" t="str">
        <f t="shared" si="536"/>
        <v>이한애비</v>
      </c>
      <c r="H4041" t="str">
        <f t="shared" si="535"/>
        <v>스토리위즈</v>
      </c>
      <c r="I4041" t="str">
        <f t="shared" si="537"/>
        <v>원코인 게이머 아포칼립스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>
        <v>70</v>
      </c>
      <c r="AT4041" t="str">
        <f t="shared" si="538"/>
        <v>9791137602779</v>
      </c>
      <c r="AV4041" t="str">
        <f t="shared" si="539"/>
        <v>판타지 웹소설 &gt; 현대 판타지</v>
      </c>
    </row>
    <row r="4042" spans="1:48" x14ac:dyDescent="0.4">
      <c r="A4042">
        <v>2313015749</v>
      </c>
      <c r="B4042">
        <v>2313015792</v>
      </c>
      <c r="C4042" t="str">
        <f>T("원코인 게이머 아포칼립스 44화")</f>
        <v>원코인 게이머 아포칼립스 44화</v>
      </c>
      <c r="D4042" t="str">
        <f>T("44")</f>
        <v>44</v>
      </c>
      <c r="E4042" t="str">
        <f t="shared" si="536"/>
        <v>이한애비</v>
      </c>
      <c r="H4042" t="str">
        <f t="shared" si="535"/>
        <v>스토리위즈</v>
      </c>
      <c r="I4042" t="str">
        <f t="shared" si="537"/>
        <v>원코인 게이머 아포칼립스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>
        <v>70</v>
      </c>
      <c r="AT4042" t="str">
        <f t="shared" si="538"/>
        <v>9791137602779</v>
      </c>
      <c r="AV4042" t="str">
        <f t="shared" si="539"/>
        <v>판타지 웹소설 &gt; 현대 판타지</v>
      </c>
    </row>
    <row r="4043" spans="1:48" x14ac:dyDescent="0.4">
      <c r="A4043">
        <v>2313015749</v>
      </c>
      <c r="B4043">
        <v>2313015793</v>
      </c>
      <c r="C4043" t="str">
        <f>T("원코인 게이머 아포칼립스 45화")</f>
        <v>원코인 게이머 아포칼립스 45화</v>
      </c>
      <c r="D4043" t="str">
        <f>T("45")</f>
        <v>45</v>
      </c>
      <c r="E4043" t="str">
        <f t="shared" si="536"/>
        <v>이한애비</v>
      </c>
      <c r="H4043" t="str">
        <f t="shared" si="535"/>
        <v>스토리위즈</v>
      </c>
      <c r="I4043" t="str">
        <f t="shared" si="537"/>
        <v>원코인 게이머 아포칼립스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>
        <v>70</v>
      </c>
      <c r="AT4043" t="str">
        <f t="shared" si="538"/>
        <v>9791137602779</v>
      </c>
      <c r="AV4043" t="str">
        <f t="shared" si="539"/>
        <v>판타지 웹소설 &gt; 현대 판타지</v>
      </c>
    </row>
    <row r="4044" spans="1:48" x14ac:dyDescent="0.4">
      <c r="A4044">
        <v>2313015749</v>
      </c>
      <c r="B4044">
        <v>2313015794</v>
      </c>
      <c r="C4044" t="str">
        <f>T("원코인 게이머 아포칼립스 46화")</f>
        <v>원코인 게이머 아포칼립스 46화</v>
      </c>
      <c r="D4044" t="str">
        <f>T("46")</f>
        <v>46</v>
      </c>
      <c r="E4044" t="str">
        <f t="shared" si="536"/>
        <v>이한애비</v>
      </c>
      <c r="H4044" t="str">
        <f t="shared" si="535"/>
        <v>스토리위즈</v>
      </c>
      <c r="I4044" t="str">
        <f t="shared" si="537"/>
        <v>원코인 게이머 아포칼립스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>
        <v>70</v>
      </c>
      <c r="AT4044" t="str">
        <f t="shared" si="538"/>
        <v>9791137602779</v>
      </c>
      <c r="AV4044" t="str">
        <f t="shared" si="539"/>
        <v>판타지 웹소설 &gt; 현대 판타지</v>
      </c>
    </row>
    <row r="4045" spans="1:48" x14ac:dyDescent="0.4">
      <c r="A4045">
        <v>2313015749</v>
      </c>
      <c r="B4045">
        <v>2313015795</v>
      </c>
      <c r="C4045" t="str">
        <f>T("원코인 게이머 아포칼립스 47화")</f>
        <v>원코인 게이머 아포칼립스 47화</v>
      </c>
      <c r="D4045" t="str">
        <f>T("47")</f>
        <v>47</v>
      </c>
      <c r="E4045" t="str">
        <f t="shared" si="536"/>
        <v>이한애비</v>
      </c>
      <c r="H4045" t="str">
        <f t="shared" si="535"/>
        <v>스토리위즈</v>
      </c>
      <c r="I4045" t="str">
        <f t="shared" si="537"/>
        <v>원코인 게이머 아포칼립스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>
        <v>70</v>
      </c>
      <c r="AT4045" t="str">
        <f t="shared" si="538"/>
        <v>9791137602779</v>
      </c>
      <c r="AV4045" t="str">
        <f t="shared" si="539"/>
        <v>판타지 웹소설 &gt; 현대 판타지</v>
      </c>
    </row>
    <row r="4046" spans="1:48" x14ac:dyDescent="0.4">
      <c r="A4046">
        <v>2313015749</v>
      </c>
      <c r="B4046">
        <v>2313015931</v>
      </c>
      <c r="C4046" t="str">
        <f>T("원코인 게이머 아포칼립스 183화")</f>
        <v>원코인 게이머 아포칼립스 183화</v>
      </c>
      <c r="D4046" t="str">
        <f>T("183")</f>
        <v>183</v>
      </c>
      <c r="E4046" t="str">
        <f t="shared" si="536"/>
        <v>이한애비</v>
      </c>
      <c r="H4046" t="str">
        <f t="shared" si="535"/>
        <v>스토리위즈</v>
      </c>
      <c r="I4046" t="str">
        <f t="shared" si="537"/>
        <v>원코인 게이머 아포칼립스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>
        <v>70</v>
      </c>
      <c r="AT4046" t="str">
        <f t="shared" si="538"/>
        <v>9791137602779</v>
      </c>
      <c r="AV4046" t="str">
        <f t="shared" si="539"/>
        <v>판타지 웹소설 &gt; 현대 판타지</v>
      </c>
    </row>
    <row r="4047" spans="1:48" x14ac:dyDescent="0.4">
      <c r="A4047">
        <v>2313015749</v>
      </c>
      <c r="B4047">
        <v>2313015962</v>
      </c>
      <c r="C4047" t="str">
        <f>T("원코인 게이머 아포칼립스 214화")</f>
        <v>원코인 게이머 아포칼립스 214화</v>
      </c>
      <c r="D4047" t="str">
        <f>T("214")</f>
        <v>214</v>
      </c>
      <c r="E4047" t="str">
        <f t="shared" si="536"/>
        <v>이한애비</v>
      </c>
      <c r="H4047" t="str">
        <f t="shared" si="535"/>
        <v>스토리위즈</v>
      </c>
      <c r="I4047" t="str">
        <f t="shared" si="537"/>
        <v>원코인 게이머 아포칼립스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>
        <v>70</v>
      </c>
      <c r="AT4047" t="str">
        <f t="shared" si="538"/>
        <v>9791137602779</v>
      </c>
      <c r="AV4047" t="str">
        <f t="shared" si="539"/>
        <v>판타지 웹소설 &gt; 현대 판타지</v>
      </c>
    </row>
    <row r="4048" spans="1:48" x14ac:dyDescent="0.4">
      <c r="A4048">
        <v>2313015749</v>
      </c>
      <c r="B4048">
        <v>2313015963</v>
      </c>
      <c r="C4048" t="str">
        <f>T("원코인 게이머 아포칼립스 215화")</f>
        <v>원코인 게이머 아포칼립스 215화</v>
      </c>
      <c r="D4048" t="str">
        <f>T("215")</f>
        <v>215</v>
      </c>
      <c r="E4048" t="str">
        <f t="shared" si="536"/>
        <v>이한애비</v>
      </c>
      <c r="H4048" t="str">
        <f t="shared" si="535"/>
        <v>스토리위즈</v>
      </c>
      <c r="I4048" t="str">
        <f t="shared" si="537"/>
        <v>원코인 게이머 아포칼립스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>
        <v>70</v>
      </c>
      <c r="AT4048" t="str">
        <f t="shared" si="538"/>
        <v>9791137602779</v>
      </c>
      <c r="AV4048" t="str">
        <f t="shared" si="539"/>
        <v>판타지 웹소설 &gt; 현대 판타지</v>
      </c>
    </row>
    <row r="4049" spans="1:48" x14ac:dyDescent="0.4">
      <c r="A4049">
        <v>2313015749</v>
      </c>
      <c r="B4049">
        <v>2313015964</v>
      </c>
      <c r="C4049" t="str">
        <f>T("원코인 게이머 아포칼립스 216화")</f>
        <v>원코인 게이머 아포칼립스 216화</v>
      </c>
      <c r="D4049" t="str">
        <f>T("216")</f>
        <v>216</v>
      </c>
      <c r="E4049" t="str">
        <f t="shared" si="536"/>
        <v>이한애비</v>
      </c>
      <c r="H4049" t="str">
        <f t="shared" si="535"/>
        <v>스토리위즈</v>
      </c>
      <c r="I4049" t="str">
        <f t="shared" si="537"/>
        <v>원코인 게이머 아포칼립스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>
        <v>70</v>
      </c>
      <c r="AT4049" t="str">
        <f t="shared" si="538"/>
        <v>9791137602779</v>
      </c>
      <c r="AV4049" t="str">
        <f t="shared" si="539"/>
        <v>판타지 웹소설 &gt; 현대 판타지</v>
      </c>
    </row>
    <row r="4050" spans="1:48" x14ac:dyDescent="0.4">
      <c r="A4050">
        <v>2313015749</v>
      </c>
      <c r="B4050">
        <v>2313015965</v>
      </c>
      <c r="C4050" t="str">
        <f>T("원코인 게이머 아포칼립스 217화")</f>
        <v>원코인 게이머 아포칼립스 217화</v>
      </c>
      <c r="D4050" t="str">
        <f>T("217")</f>
        <v>217</v>
      </c>
      <c r="E4050" t="str">
        <f t="shared" si="536"/>
        <v>이한애비</v>
      </c>
      <c r="H4050" t="str">
        <f t="shared" si="535"/>
        <v>스토리위즈</v>
      </c>
      <c r="I4050" t="str">
        <f t="shared" si="537"/>
        <v>원코인 게이머 아포칼립스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>
        <v>70</v>
      </c>
      <c r="AT4050" t="str">
        <f t="shared" si="538"/>
        <v>9791137602779</v>
      </c>
      <c r="AV4050" t="str">
        <f t="shared" si="539"/>
        <v>판타지 웹소설 &gt; 현대 판타지</v>
      </c>
    </row>
    <row r="4051" spans="1:48" x14ac:dyDescent="0.4">
      <c r="A4051">
        <v>2313015749</v>
      </c>
      <c r="B4051">
        <v>2313015966</v>
      </c>
      <c r="C4051" t="str">
        <f>T("원코인 게이머 아포칼립스 218화")</f>
        <v>원코인 게이머 아포칼립스 218화</v>
      </c>
      <c r="D4051" t="str">
        <f>T("218")</f>
        <v>218</v>
      </c>
      <c r="E4051" t="str">
        <f t="shared" si="536"/>
        <v>이한애비</v>
      </c>
      <c r="H4051" t="str">
        <f t="shared" si="535"/>
        <v>스토리위즈</v>
      </c>
      <c r="I4051" t="str">
        <f t="shared" si="537"/>
        <v>원코인 게이머 아포칼립스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>
        <v>70</v>
      </c>
      <c r="AT4051" t="str">
        <f t="shared" si="538"/>
        <v>9791137602779</v>
      </c>
      <c r="AV4051" t="str">
        <f t="shared" si="539"/>
        <v>판타지 웹소설 &gt; 현대 판타지</v>
      </c>
    </row>
    <row r="4052" spans="1:48" x14ac:dyDescent="0.4">
      <c r="A4052">
        <v>2313015749</v>
      </c>
      <c r="B4052">
        <v>2313015967</v>
      </c>
      <c r="C4052" t="str">
        <f>T("원코인 게이머 아포칼립스 219화")</f>
        <v>원코인 게이머 아포칼립스 219화</v>
      </c>
      <c r="D4052" t="str">
        <f>T("219")</f>
        <v>219</v>
      </c>
      <c r="E4052" t="str">
        <f t="shared" si="536"/>
        <v>이한애비</v>
      </c>
      <c r="H4052" t="str">
        <f t="shared" si="535"/>
        <v>스토리위즈</v>
      </c>
      <c r="I4052" t="str">
        <f t="shared" si="537"/>
        <v>원코인 게이머 아포칼립스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>
        <v>70</v>
      </c>
      <c r="AT4052" t="str">
        <f t="shared" si="538"/>
        <v>9791137602779</v>
      </c>
      <c r="AV4052" t="str">
        <f t="shared" si="539"/>
        <v>판타지 웹소설 &gt; 현대 판타지</v>
      </c>
    </row>
    <row r="4053" spans="1:48" x14ac:dyDescent="0.4">
      <c r="A4053">
        <v>2313015749</v>
      </c>
      <c r="B4053">
        <v>2313015968</v>
      </c>
      <c r="C4053" t="str">
        <f>T("원코인 게이머 아포칼립스 220화")</f>
        <v>원코인 게이머 아포칼립스 220화</v>
      </c>
      <c r="D4053" t="str">
        <f>T("220")</f>
        <v>220</v>
      </c>
      <c r="E4053" t="str">
        <f t="shared" si="536"/>
        <v>이한애비</v>
      </c>
      <c r="H4053" t="str">
        <f t="shared" si="535"/>
        <v>스토리위즈</v>
      </c>
      <c r="I4053" t="str">
        <f t="shared" si="537"/>
        <v>원코인 게이머 아포칼립스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>
        <v>70</v>
      </c>
      <c r="AT4053" t="str">
        <f t="shared" si="538"/>
        <v>9791137602779</v>
      </c>
      <c r="AV4053" t="str">
        <f t="shared" si="539"/>
        <v>판타지 웹소설 &gt; 현대 판타지</v>
      </c>
    </row>
    <row r="4054" spans="1:48" x14ac:dyDescent="0.4">
      <c r="A4054">
        <v>2313015749</v>
      </c>
      <c r="B4054">
        <v>2313015969</v>
      </c>
      <c r="C4054" t="str">
        <f>T("원코인 게이머 아포칼립스 221화")</f>
        <v>원코인 게이머 아포칼립스 221화</v>
      </c>
      <c r="D4054" t="str">
        <f>T("221")</f>
        <v>221</v>
      </c>
      <c r="E4054" t="str">
        <f t="shared" si="536"/>
        <v>이한애비</v>
      </c>
      <c r="H4054" t="str">
        <f t="shared" si="535"/>
        <v>스토리위즈</v>
      </c>
      <c r="I4054" t="str">
        <f t="shared" si="537"/>
        <v>원코인 게이머 아포칼립스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>
        <v>70</v>
      </c>
      <c r="AT4054" t="str">
        <f t="shared" si="538"/>
        <v>9791137602779</v>
      </c>
      <c r="AV4054" t="str">
        <f t="shared" si="539"/>
        <v>판타지 웹소설 &gt; 현대 판타지</v>
      </c>
    </row>
    <row r="4055" spans="1:48" x14ac:dyDescent="0.4">
      <c r="A4055">
        <v>2313015749</v>
      </c>
      <c r="B4055">
        <v>2313015970</v>
      </c>
      <c r="C4055" t="str">
        <f>T("원코인 게이머 아포칼립스 222화")</f>
        <v>원코인 게이머 아포칼립스 222화</v>
      </c>
      <c r="D4055" t="str">
        <f>T("222")</f>
        <v>222</v>
      </c>
      <c r="E4055" t="str">
        <f t="shared" si="536"/>
        <v>이한애비</v>
      </c>
      <c r="H4055" t="str">
        <f t="shared" si="535"/>
        <v>스토리위즈</v>
      </c>
      <c r="I4055" t="str">
        <f t="shared" si="537"/>
        <v>원코인 게이머 아포칼립스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>
        <v>70</v>
      </c>
      <c r="AT4055" t="str">
        <f t="shared" si="538"/>
        <v>9791137602779</v>
      </c>
      <c r="AV4055" t="str">
        <f t="shared" si="539"/>
        <v>판타지 웹소설 &gt; 현대 판타지</v>
      </c>
    </row>
    <row r="4056" spans="1:48" x14ac:dyDescent="0.4">
      <c r="A4056">
        <v>2313015749</v>
      </c>
      <c r="B4056">
        <v>2313015971</v>
      </c>
      <c r="C4056" t="str">
        <f>T("원코인 게이머 아포칼립스 223화 (완결)")</f>
        <v>원코인 게이머 아포칼립스 223화 (완결)</v>
      </c>
      <c r="D4056" t="str">
        <f>T("223")</f>
        <v>223</v>
      </c>
      <c r="E4056" t="str">
        <f t="shared" si="536"/>
        <v>이한애비</v>
      </c>
      <c r="H4056" t="str">
        <f t="shared" si="535"/>
        <v>스토리위즈</v>
      </c>
      <c r="I4056" t="str">
        <f t="shared" si="537"/>
        <v>원코인 게이머 아포칼립스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>
        <v>70</v>
      </c>
      <c r="AT4056" t="str">
        <f t="shared" si="538"/>
        <v>9791137602779</v>
      </c>
      <c r="AV4056" t="str">
        <f t="shared" si="539"/>
        <v>판타지 웹소설 &gt; 현대 판타지</v>
      </c>
    </row>
    <row r="4057" spans="1:48" x14ac:dyDescent="0.4">
      <c r="A4057">
        <v>2313016001</v>
      </c>
      <c r="B4057">
        <v>2313016027</v>
      </c>
      <c r="C4057" t="str">
        <f>T("칵테일로 레벨업 27화")</f>
        <v>칵테일로 레벨업 27화</v>
      </c>
      <c r="D4057" t="str">
        <f>T("27")</f>
        <v>27</v>
      </c>
      <c r="E4057" t="str">
        <f t="shared" ref="E4057:E4112" si="540">T("서강후")</f>
        <v>서강후</v>
      </c>
      <c r="H4057" t="str">
        <f t="shared" si="535"/>
        <v>스토리위즈</v>
      </c>
      <c r="I4057" t="str">
        <f t="shared" ref="I4057:I4112" si="541">T("칵테일로 레벨업")</f>
        <v>칵테일로 레벨업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>
        <v>70</v>
      </c>
      <c r="AR4057" t="str">
        <f t="shared" ref="AR4057:AR4112" si="542">T("0000000000000")</f>
        <v>0000000000000</v>
      </c>
      <c r="AT4057" t="str">
        <f t="shared" ref="AT4057:AT4112" si="543">T("9791137601284")</f>
        <v>9791137601284</v>
      </c>
      <c r="AV4057" t="str">
        <f t="shared" si="539"/>
        <v>판타지 웹소설 &gt; 현대 판타지</v>
      </c>
    </row>
    <row r="4058" spans="1:48" x14ac:dyDescent="0.4">
      <c r="A4058">
        <v>2313016001</v>
      </c>
      <c r="B4058">
        <v>2313016028</v>
      </c>
      <c r="C4058" t="str">
        <f>T("칵테일로 레벨업 28화")</f>
        <v>칵테일로 레벨업 28화</v>
      </c>
      <c r="D4058" t="str">
        <f>T("28")</f>
        <v>28</v>
      </c>
      <c r="E4058" t="str">
        <f t="shared" si="540"/>
        <v>서강후</v>
      </c>
      <c r="H4058" t="str">
        <f t="shared" si="535"/>
        <v>스토리위즈</v>
      </c>
      <c r="I4058" t="str">
        <f t="shared" si="541"/>
        <v>칵테일로 레벨업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>
        <v>70</v>
      </c>
      <c r="AR4058" t="str">
        <f t="shared" si="542"/>
        <v>0000000000000</v>
      </c>
      <c r="AT4058" t="str">
        <f t="shared" si="543"/>
        <v>9791137601284</v>
      </c>
      <c r="AV4058" t="str">
        <f t="shared" si="539"/>
        <v>판타지 웹소설 &gt; 현대 판타지</v>
      </c>
    </row>
    <row r="4059" spans="1:48" x14ac:dyDescent="0.4">
      <c r="A4059">
        <v>2313016001</v>
      </c>
      <c r="B4059">
        <v>2313016029</v>
      </c>
      <c r="C4059" t="str">
        <f>T("칵테일로 레벨업 29화")</f>
        <v>칵테일로 레벨업 29화</v>
      </c>
      <c r="D4059" t="str">
        <f>T("29")</f>
        <v>29</v>
      </c>
      <c r="E4059" t="str">
        <f t="shared" si="540"/>
        <v>서강후</v>
      </c>
      <c r="H4059" t="str">
        <f t="shared" si="535"/>
        <v>스토리위즈</v>
      </c>
      <c r="I4059" t="str">
        <f t="shared" si="541"/>
        <v>칵테일로 레벨업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>
        <v>70</v>
      </c>
      <c r="AR4059" t="str">
        <f t="shared" si="542"/>
        <v>0000000000000</v>
      </c>
      <c r="AT4059" t="str">
        <f t="shared" si="543"/>
        <v>9791137601284</v>
      </c>
      <c r="AV4059" t="str">
        <f t="shared" si="539"/>
        <v>판타지 웹소설 &gt; 현대 판타지</v>
      </c>
    </row>
    <row r="4060" spans="1:48" x14ac:dyDescent="0.4">
      <c r="A4060">
        <v>2313016001</v>
      </c>
      <c r="B4060">
        <v>2313016030</v>
      </c>
      <c r="C4060" t="str">
        <f>T("칵테일로 레벨업 30화")</f>
        <v>칵테일로 레벨업 30화</v>
      </c>
      <c r="D4060" t="str">
        <f>T("30")</f>
        <v>30</v>
      </c>
      <c r="E4060" t="str">
        <f t="shared" si="540"/>
        <v>서강후</v>
      </c>
      <c r="H4060" t="str">
        <f t="shared" si="535"/>
        <v>스토리위즈</v>
      </c>
      <c r="I4060" t="str">
        <f t="shared" si="541"/>
        <v>칵테일로 레벨업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>
        <v>70</v>
      </c>
      <c r="AR4060" t="str">
        <f t="shared" si="542"/>
        <v>0000000000000</v>
      </c>
      <c r="AT4060" t="str">
        <f t="shared" si="543"/>
        <v>9791137601284</v>
      </c>
      <c r="AV4060" t="str">
        <f t="shared" si="539"/>
        <v>판타지 웹소설 &gt; 현대 판타지</v>
      </c>
    </row>
    <row r="4061" spans="1:48" x14ac:dyDescent="0.4">
      <c r="A4061">
        <v>2313016001</v>
      </c>
      <c r="B4061">
        <v>2313016031</v>
      </c>
      <c r="C4061" t="str">
        <f>T("칵테일로 레벨업 31화")</f>
        <v>칵테일로 레벨업 31화</v>
      </c>
      <c r="D4061" t="str">
        <f>T("31")</f>
        <v>31</v>
      </c>
      <c r="E4061" t="str">
        <f t="shared" si="540"/>
        <v>서강후</v>
      </c>
      <c r="H4061" t="str">
        <f t="shared" si="535"/>
        <v>스토리위즈</v>
      </c>
      <c r="I4061" t="str">
        <f t="shared" si="541"/>
        <v>칵테일로 레벨업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>
        <v>70</v>
      </c>
      <c r="AR4061" t="str">
        <f t="shared" si="542"/>
        <v>0000000000000</v>
      </c>
      <c r="AT4061" t="str">
        <f t="shared" si="543"/>
        <v>9791137601284</v>
      </c>
      <c r="AV4061" t="str">
        <f t="shared" si="539"/>
        <v>판타지 웹소설 &gt; 현대 판타지</v>
      </c>
    </row>
    <row r="4062" spans="1:48" x14ac:dyDescent="0.4">
      <c r="A4062">
        <v>2313016001</v>
      </c>
      <c r="B4062">
        <v>2313016032</v>
      </c>
      <c r="C4062" t="str">
        <f>T("칵테일로 레벨업 32화")</f>
        <v>칵테일로 레벨업 32화</v>
      </c>
      <c r="D4062" t="str">
        <f>T("32")</f>
        <v>32</v>
      </c>
      <c r="E4062" t="str">
        <f t="shared" si="540"/>
        <v>서강후</v>
      </c>
      <c r="H4062" t="str">
        <f t="shared" si="535"/>
        <v>스토리위즈</v>
      </c>
      <c r="I4062" t="str">
        <f t="shared" si="541"/>
        <v>칵테일로 레벨업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>
        <v>70</v>
      </c>
      <c r="AR4062" t="str">
        <f t="shared" si="542"/>
        <v>0000000000000</v>
      </c>
      <c r="AT4062" t="str">
        <f t="shared" si="543"/>
        <v>9791137601284</v>
      </c>
      <c r="AV4062" t="str">
        <f t="shared" si="539"/>
        <v>판타지 웹소설 &gt; 현대 판타지</v>
      </c>
    </row>
    <row r="4063" spans="1:48" x14ac:dyDescent="0.4">
      <c r="A4063">
        <v>2313016001</v>
      </c>
      <c r="B4063">
        <v>2313016033</v>
      </c>
      <c r="C4063" t="str">
        <f>T("칵테일로 레벨업 33화")</f>
        <v>칵테일로 레벨업 33화</v>
      </c>
      <c r="D4063" t="str">
        <f>T("33")</f>
        <v>33</v>
      </c>
      <c r="E4063" t="str">
        <f t="shared" si="540"/>
        <v>서강후</v>
      </c>
      <c r="H4063" t="str">
        <f t="shared" si="535"/>
        <v>스토리위즈</v>
      </c>
      <c r="I4063" t="str">
        <f t="shared" si="541"/>
        <v>칵테일로 레벨업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>
        <v>70</v>
      </c>
      <c r="AR4063" t="str">
        <f t="shared" si="542"/>
        <v>0000000000000</v>
      </c>
      <c r="AT4063" t="str">
        <f t="shared" si="543"/>
        <v>9791137601284</v>
      </c>
      <c r="AV4063" t="str">
        <f t="shared" si="539"/>
        <v>판타지 웹소설 &gt; 현대 판타지</v>
      </c>
    </row>
    <row r="4064" spans="1:48" x14ac:dyDescent="0.4">
      <c r="A4064">
        <v>2313016001</v>
      </c>
      <c r="B4064">
        <v>2313016034</v>
      </c>
      <c r="C4064" t="str">
        <f>T("칵테일로 레벨업 34화")</f>
        <v>칵테일로 레벨업 34화</v>
      </c>
      <c r="D4064" t="str">
        <f>T("34")</f>
        <v>34</v>
      </c>
      <c r="E4064" t="str">
        <f t="shared" si="540"/>
        <v>서강후</v>
      </c>
      <c r="H4064" t="str">
        <f t="shared" si="535"/>
        <v>스토리위즈</v>
      </c>
      <c r="I4064" t="str">
        <f t="shared" si="541"/>
        <v>칵테일로 레벨업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>
        <v>70</v>
      </c>
      <c r="AR4064" t="str">
        <f t="shared" si="542"/>
        <v>0000000000000</v>
      </c>
      <c r="AT4064" t="str">
        <f t="shared" si="543"/>
        <v>9791137601284</v>
      </c>
      <c r="AV4064" t="str">
        <f t="shared" si="539"/>
        <v>판타지 웹소설 &gt; 현대 판타지</v>
      </c>
    </row>
    <row r="4065" spans="1:48" x14ac:dyDescent="0.4">
      <c r="A4065">
        <v>2313016001</v>
      </c>
      <c r="B4065">
        <v>2313016035</v>
      </c>
      <c r="C4065" t="str">
        <f>T("칵테일로 레벨업 35화")</f>
        <v>칵테일로 레벨업 35화</v>
      </c>
      <c r="D4065" t="str">
        <f>T("35")</f>
        <v>35</v>
      </c>
      <c r="E4065" t="str">
        <f t="shared" si="540"/>
        <v>서강후</v>
      </c>
      <c r="H4065" t="str">
        <f t="shared" si="535"/>
        <v>스토리위즈</v>
      </c>
      <c r="I4065" t="str">
        <f t="shared" si="541"/>
        <v>칵테일로 레벨업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>
        <v>70</v>
      </c>
      <c r="AR4065" t="str">
        <f t="shared" si="542"/>
        <v>0000000000000</v>
      </c>
      <c r="AT4065" t="str">
        <f t="shared" si="543"/>
        <v>9791137601284</v>
      </c>
      <c r="AV4065" t="str">
        <f t="shared" si="539"/>
        <v>판타지 웹소설 &gt; 현대 판타지</v>
      </c>
    </row>
    <row r="4066" spans="1:48" x14ac:dyDescent="0.4">
      <c r="A4066">
        <v>2313016001</v>
      </c>
      <c r="B4066">
        <v>2313016036</v>
      </c>
      <c r="C4066" t="str">
        <f>T("칵테일로 레벨업 36화")</f>
        <v>칵테일로 레벨업 36화</v>
      </c>
      <c r="D4066" t="str">
        <f>T("36")</f>
        <v>36</v>
      </c>
      <c r="E4066" t="str">
        <f t="shared" si="540"/>
        <v>서강후</v>
      </c>
      <c r="H4066" t="str">
        <f t="shared" si="535"/>
        <v>스토리위즈</v>
      </c>
      <c r="I4066" t="str">
        <f t="shared" si="541"/>
        <v>칵테일로 레벨업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>
        <v>70</v>
      </c>
      <c r="AR4066" t="str">
        <f t="shared" si="542"/>
        <v>0000000000000</v>
      </c>
      <c r="AT4066" t="str">
        <f t="shared" si="543"/>
        <v>9791137601284</v>
      </c>
      <c r="AV4066" t="str">
        <f t="shared" si="539"/>
        <v>판타지 웹소설 &gt; 현대 판타지</v>
      </c>
    </row>
    <row r="4067" spans="1:48" x14ac:dyDescent="0.4">
      <c r="A4067">
        <v>2313016001</v>
      </c>
      <c r="B4067">
        <v>2313016037</v>
      </c>
      <c r="C4067" t="str">
        <f>T("칵테일로 레벨업 37화")</f>
        <v>칵테일로 레벨업 37화</v>
      </c>
      <c r="D4067" t="str">
        <f>T("37")</f>
        <v>37</v>
      </c>
      <c r="E4067" t="str">
        <f t="shared" si="540"/>
        <v>서강후</v>
      </c>
      <c r="H4067" t="str">
        <f t="shared" si="535"/>
        <v>스토리위즈</v>
      </c>
      <c r="I4067" t="str">
        <f t="shared" si="541"/>
        <v>칵테일로 레벨업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>
        <v>70</v>
      </c>
      <c r="AR4067" t="str">
        <f t="shared" si="542"/>
        <v>0000000000000</v>
      </c>
      <c r="AT4067" t="str">
        <f t="shared" si="543"/>
        <v>9791137601284</v>
      </c>
      <c r="AV4067" t="str">
        <f t="shared" si="539"/>
        <v>판타지 웹소설 &gt; 현대 판타지</v>
      </c>
    </row>
    <row r="4068" spans="1:48" x14ac:dyDescent="0.4">
      <c r="A4068">
        <v>2313016001</v>
      </c>
      <c r="B4068">
        <v>2313016038</v>
      </c>
      <c r="C4068" t="str">
        <f>T("칵테일로 레벨업 38화")</f>
        <v>칵테일로 레벨업 38화</v>
      </c>
      <c r="D4068" t="str">
        <f>T("38")</f>
        <v>38</v>
      </c>
      <c r="E4068" t="str">
        <f t="shared" si="540"/>
        <v>서강후</v>
      </c>
      <c r="H4068" t="str">
        <f t="shared" si="535"/>
        <v>스토리위즈</v>
      </c>
      <c r="I4068" t="str">
        <f t="shared" si="541"/>
        <v>칵테일로 레벨업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>
        <v>70</v>
      </c>
      <c r="AR4068" t="str">
        <f t="shared" si="542"/>
        <v>0000000000000</v>
      </c>
      <c r="AT4068" t="str">
        <f t="shared" si="543"/>
        <v>9791137601284</v>
      </c>
      <c r="AV4068" t="str">
        <f t="shared" si="539"/>
        <v>판타지 웹소설 &gt; 현대 판타지</v>
      </c>
    </row>
    <row r="4069" spans="1:48" x14ac:dyDescent="0.4">
      <c r="A4069">
        <v>2313016001</v>
      </c>
      <c r="B4069">
        <v>2313016039</v>
      </c>
      <c r="C4069" t="str">
        <f>T("칵테일로 레벨업 39화")</f>
        <v>칵테일로 레벨업 39화</v>
      </c>
      <c r="D4069" t="str">
        <f>T("39")</f>
        <v>39</v>
      </c>
      <c r="E4069" t="str">
        <f t="shared" si="540"/>
        <v>서강후</v>
      </c>
      <c r="H4069" t="str">
        <f t="shared" si="535"/>
        <v>스토리위즈</v>
      </c>
      <c r="I4069" t="str">
        <f t="shared" si="541"/>
        <v>칵테일로 레벨업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>
        <v>70</v>
      </c>
      <c r="AR4069" t="str">
        <f t="shared" si="542"/>
        <v>0000000000000</v>
      </c>
      <c r="AT4069" t="str">
        <f t="shared" si="543"/>
        <v>9791137601284</v>
      </c>
      <c r="AV4069" t="str">
        <f t="shared" si="539"/>
        <v>판타지 웹소설 &gt; 현대 판타지</v>
      </c>
    </row>
    <row r="4070" spans="1:48" x14ac:dyDescent="0.4">
      <c r="A4070">
        <v>2313016001</v>
      </c>
      <c r="B4070">
        <v>2313016040</v>
      </c>
      <c r="C4070" t="str">
        <f>T("칵테일로 레벨업 40화")</f>
        <v>칵테일로 레벨업 40화</v>
      </c>
      <c r="D4070" t="str">
        <f>T("40")</f>
        <v>40</v>
      </c>
      <c r="E4070" t="str">
        <f t="shared" si="540"/>
        <v>서강후</v>
      </c>
      <c r="H4070" t="str">
        <f t="shared" si="535"/>
        <v>스토리위즈</v>
      </c>
      <c r="I4070" t="str">
        <f t="shared" si="541"/>
        <v>칵테일로 레벨업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>
        <v>70</v>
      </c>
      <c r="AR4070" t="str">
        <f t="shared" si="542"/>
        <v>0000000000000</v>
      </c>
      <c r="AT4070" t="str">
        <f t="shared" si="543"/>
        <v>9791137601284</v>
      </c>
      <c r="AV4070" t="str">
        <f t="shared" si="539"/>
        <v>판타지 웹소설 &gt; 현대 판타지</v>
      </c>
    </row>
    <row r="4071" spans="1:48" x14ac:dyDescent="0.4">
      <c r="A4071">
        <v>2313016001</v>
      </c>
      <c r="B4071">
        <v>2313016041</v>
      </c>
      <c r="C4071" t="str">
        <f>T("칵테일로 레벨업 41화")</f>
        <v>칵테일로 레벨업 41화</v>
      </c>
      <c r="D4071" t="str">
        <f>T("41")</f>
        <v>41</v>
      </c>
      <c r="E4071" t="str">
        <f t="shared" si="540"/>
        <v>서강후</v>
      </c>
      <c r="H4071" t="str">
        <f t="shared" si="535"/>
        <v>스토리위즈</v>
      </c>
      <c r="I4071" t="str">
        <f t="shared" si="541"/>
        <v>칵테일로 레벨업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>
        <v>70</v>
      </c>
      <c r="AR4071" t="str">
        <f t="shared" si="542"/>
        <v>0000000000000</v>
      </c>
      <c r="AT4071" t="str">
        <f t="shared" si="543"/>
        <v>9791137601284</v>
      </c>
      <c r="AV4071" t="str">
        <f t="shared" si="539"/>
        <v>판타지 웹소설 &gt; 현대 판타지</v>
      </c>
    </row>
    <row r="4072" spans="1:48" x14ac:dyDescent="0.4">
      <c r="A4072">
        <v>2313016001</v>
      </c>
      <c r="B4072">
        <v>2313016042</v>
      </c>
      <c r="C4072" t="str">
        <f>T("칵테일로 레벨업 42화")</f>
        <v>칵테일로 레벨업 42화</v>
      </c>
      <c r="D4072" t="str">
        <f>T("42")</f>
        <v>42</v>
      </c>
      <c r="E4072" t="str">
        <f t="shared" si="540"/>
        <v>서강후</v>
      </c>
      <c r="H4072" t="str">
        <f t="shared" si="535"/>
        <v>스토리위즈</v>
      </c>
      <c r="I4072" t="str">
        <f t="shared" si="541"/>
        <v>칵테일로 레벨업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>
        <v>70</v>
      </c>
      <c r="AR4072" t="str">
        <f t="shared" si="542"/>
        <v>0000000000000</v>
      </c>
      <c r="AT4072" t="str">
        <f t="shared" si="543"/>
        <v>9791137601284</v>
      </c>
      <c r="AV4072" t="str">
        <f t="shared" si="539"/>
        <v>판타지 웹소설 &gt; 현대 판타지</v>
      </c>
    </row>
    <row r="4073" spans="1:48" x14ac:dyDescent="0.4">
      <c r="A4073">
        <v>2313016001</v>
      </c>
      <c r="B4073">
        <v>2313016043</v>
      </c>
      <c r="C4073" t="str">
        <f>T("칵테일로 레벨업 43화")</f>
        <v>칵테일로 레벨업 43화</v>
      </c>
      <c r="D4073" t="str">
        <f>T("43")</f>
        <v>43</v>
      </c>
      <c r="E4073" t="str">
        <f t="shared" si="540"/>
        <v>서강후</v>
      </c>
      <c r="H4073" t="str">
        <f t="shared" si="535"/>
        <v>스토리위즈</v>
      </c>
      <c r="I4073" t="str">
        <f t="shared" si="541"/>
        <v>칵테일로 레벨업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>
        <v>70</v>
      </c>
      <c r="AR4073" t="str">
        <f t="shared" si="542"/>
        <v>0000000000000</v>
      </c>
      <c r="AT4073" t="str">
        <f t="shared" si="543"/>
        <v>9791137601284</v>
      </c>
      <c r="AV4073" t="str">
        <f t="shared" si="539"/>
        <v>판타지 웹소설 &gt; 현대 판타지</v>
      </c>
    </row>
    <row r="4074" spans="1:48" x14ac:dyDescent="0.4">
      <c r="A4074">
        <v>2313016001</v>
      </c>
      <c r="B4074">
        <v>2313016044</v>
      </c>
      <c r="C4074" t="str">
        <f>T("칵테일로 레벨업 44화")</f>
        <v>칵테일로 레벨업 44화</v>
      </c>
      <c r="D4074" t="str">
        <f>T("44")</f>
        <v>44</v>
      </c>
      <c r="E4074" t="str">
        <f t="shared" si="540"/>
        <v>서강후</v>
      </c>
      <c r="H4074" t="str">
        <f t="shared" si="535"/>
        <v>스토리위즈</v>
      </c>
      <c r="I4074" t="str">
        <f t="shared" si="541"/>
        <v>칵테일로 레벨업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>
        <v>70</v>
      </c>
      <c r="AR4074" t="str">
        <f t="shared" si="542"/>
        <v>0000000000000</v>
      </c>
      <c r="AT4074" t="str">
        <f t="shared" si="543"/>
        <v>9791137601284</v>
      </c>
      <c r="AV4074" t="str">
        <f t="shared" si="539"/>
        <v>판타지 웹소설 &gt; 현대 판타지</v>
      </c>
    </row>
    <row r="4075" spans="1:48" x14ac:dyDescent="0.4">
      <c r="A4075">
        <v>2313016001</v>
      </c>
      <c r="B4075">
        <v>2313016045</v>
      </c>
      <c r="C4075" t="str">
        <f>T("칵테일로 레벨업 45화")</f>
        <v>칵테일로 레벨업 45화</v>
      </c>
      <c r="D4075" t="str">
        <f>T("45")</f>
        <v>45</v>
      </c>
      <c r="E4075" t="str">
        <f t="shared" si="540"/>
        <v>서강후</v>
      </c>
      <c r="H4075" t="str">
        <f t="shared" si="535"/>
        <v>스토리위즈</v>
      </c>
      <c r="I4075" t="str">
        <f t="shared" si="541"/>
        <v>칵테일로 레벨업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>
        <v>70</v>
      </c>
      <c r="AR4075" t="str">
        <f t="shared" si="542"/>
        <v>0000000000000</v>
      </c>
      <c r="AT4075" t="str">
        <f t="shared" si="543"/>
        <v>9791137601284</v>
      </c>
      <c r="AV4075" t="str">
        <f t="shared" si="539"/>
        <v>판타지 웹소설 &gt; 현대 판타지</v>
      </c>
    </row>
    <row r="4076" spans="1:48" x14ac:dyDescent="0.4">
      <c r="A4076">
        <v>2313016001</v>
      </c>
      <c r="B4076">
        <v>2313016046</v>
      </c>
      <c r="C4076" t="str">
        <f>T("칵테일로 레벨업 46화")</f>
        <v>칵테일로 레벨업 46화</v>
      </c>
      <c r="D4076" t="str">
        <f>T("46")</f>
        <v>46</v>
      </c>
      <c r="E4076" t="str">
        <f t="shared" si="540"/>
        <v>서강후</v>
      </c>
      <c r="H4076" t="str">
        <f t="shared" si="535"/>
        <v>스토리위즈</v>
      </c>
      <c r="I4076" t="str">
        <f t="shared" si="541"/>
        <v>칵테일로 레벨업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>
        <v>70</v>
      </c>
      <c r="AR4076" t="str">
        <f t="shared" si="542"/>
        <v>0000000000000</v>
      </c>
      <c r="AT4076" t="str">
        <f t="shared" si="543"/>
        <v>9791137601284</v>
      </c>
      <c r="AV4076" t="str">
        <f t="shared" si="539"/>
        <v>판타지 웹소설 &gt; 현대 판타지</v>
      </c>
    </row>
    <row r="4077" spans="1:48" x14ac:dyDescent="0.4">
      <c r="A4077">
        <v>2313016001</v>
      </c>
      <c r="B4077">
        <v>2313016047</v>
      </c>
      <c r="C4077" t="str">
        <f>T("칵테일로 레벨업 47화")</f>
        <v>칵테일로 레벨업 47화</v>
      </c>
      <c r="D4077" t="str">
        <f>T("47")</f>
        <v>47</v>
      </c>
      <c r="E4077" t="str">
        <f t="shared" si="540"/>
        <v>서강후</v>
      </c>
      <c r="H4077" t="str">
        <f t="shared" si="535"/>
        <v>스토리위즈</v>
      </c>
      <c r="I4077" t="str">
        <f t="shared" si="541"/>
        <v>칵테일로 레벨업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>
        <v>70</v>
      </c>
      <c r="AR4077" t="str">
        <f t="shared" si="542"/>
        <v>0000000000000</v>
      </c>
      <c r="AT4077" t="str">
        <f t="shared" si="543"/>
        <v>9791137601284</v>
      </c>
      <c r="AV4077" t="str">
        <f t="shared" si="539"/>
        <v>판타지 웹소설 &gt; 현대 판타지</v>
      </c>
    </row>
    <row r="4078" spans="1:48" x14ac:dyDescent="0.4">
      <c r="A4078">
        <v>2313016001</v>
      </c>
      <c r="B4078">
        <v>2313016048</v>
      </c>
      <c r="C4078" t="str">
        <f>T("칵테일로 레벨업 48화")</f>
        <v>칵테일로 레벨업 48화</v>
      </c>
      <c r="D4078" t="str">
        <f>T("48")</f>
        <v>48</v>
      </c>
      <c r="E4078" t="str">
        <f t="shared" si="540"/>
        <v>서강후</v>
      </c>
      <c r="H4078" t="str">
        <f t="shared" si="535"/>
        <v>스토리위즈</v>
      </c>
      <c r="I4078" t="str">
        <f t="shared" si="541"/>
        <v>칵테일로 레벨업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>
        <v>70</v>
      </c>
      <c r="AR4078" t="str">
        <f t="shared" si="542"/>
        <v>0000000000000</v>
      </c>
      <c r="AT4078" t="str">
        <f t="shared" si="543"/>
        <v>9791137601284</v>
      </c>
      <c r="AV4078" t="str">
        <f t="shared" si="539"/>
        <v>판타지 웹소설 &gt; 현대 판타지</v>
      </c>
    </row>
    <row r="4079" spans="1:48" x14ac:dyDescent="0.4">
      <c r="A4079">
        <v>2313016001</v>
      </c>
      <c r="B4079">
        <v>2313016049</v>
      </c>
      <c r="C4079" t="str">
        <f>T("칵테일로 레벨업 49화")</f>
        <v>칵테일로 레벨업 49화</v>
      </c>
      <c r="D4079" t="str">
        <f>T("49")</f>
        <v>49</v>
      </c>
      <c r="E4079" t="str">
        <f t="shared" si="540"/>
        <v>서강후</v>
      </c>
      <c r="H4079" t="str">
        <f t="shared" si="535"/>
        <v>스토리위즈</v>
      </c>
      <c r="I4079" t="str">
        <f t="shared" si="541"/>
        <v>칵테일로 레벨업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70</v>
      </c>
      <c r="AR4079" t="str">
        <f t="shared" si="542"/>
        <v>0000000000000</v>
      </c>
      <c r="AT4079" t="str">
        <f t="shared" si="543"/>
        <v>9791137601284</v>
      </c>
      <c r="AV4079" t="str">
        <f t="shared" si="539"/>
        <v>판타지 웹소설 &gt; 현대 판타지</v>
      </c>
    </row>
    <row r="4080" spans="1:48" x14ac:dyDescent="0.4">
      <c r="A4080">
        <v>2313016001</v>
      </c>
      <c r="B4080">
        <v>2313016050</v>
      </c>
      <c r="C4080" t="str">
        <f>T("칵테일로 레벨업 50화")</f>
        <v>칵테일로 레벨업 50화</v>
      </c>
      <c r="D4080" t="str">
        <f>T("50")</f>
        <v>50</v>
      </c>
      <c r="E4080" t="str">
        <f t="shared" si="540"/>
        <v>서강후</v>
      </c>
      <c r="H4080" t="str">
        <f t="shared" si="535"/>
        <v>스토리위즈</v>
      </c>
      <c r="I4080" t="str">
        <f t="shared" si="541"/>
        <v>칵테일로 레벨업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70</v>
      </c>
      <c r="AR4080" t="str">
        <f t="shared" si="542"/>
        <v>0000000000000</v>
      </c>
      <c r="AT4080" t="str">
        <f t="shared" si="543"/>
        <v>9791137601284</v>
      </c>
      <c r="AV4080" t="str">
        <f t="shared" si="539"/>
        <v>판타지 웹소설 &gt; 현대 판타지</v>
      </c>
    </row>
    <row r="4081" spans="1:48" x14ac:dyDescent="0.4">
      <c r="A4081">
        <v>2313016001</v>
      </c>
      <c r="B4081">
        <v>2313016051</v>
      </c>
      <c r="C4081" t="str">
        <f>T("칵테일로 레벨업 51화")</f>
        <v>칵테일로 레벨업 51화</v>
      </c>
      <c r="D4081" t="str">
        <f>T("51")</f>
        <v>51</v>
      </c>
      <c r="E4081" t="str">
        <f t="shared" si="540"/>
        <v>서강후</v>
      </c>
      <c r="H4081" t="str">
        <f t="shared" si="535"/>
        <v>스토리위즈</v>
      </c>
      <c r="I4081" t="str">
        <f t="shared" si="541"/>
        <v>칵테일로 레벨업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70</v>
      </c>
      <c r="AR4081" t="str">
        <f t="shared" si="542"/>
        <v>0000000000000</v>
      </c>
      <c r="AT4081" t="str">
        <f t="shared" si="543"/>
        <v>9791137601284</v>
      </c>
      <c r="AV4081" t="str">
        <f t="shared" si="539"/>
        <v>판타지 웹소설 &gt; 현대 판타지</v>
      </c>
    </row>
    <row r="4082" spans="1:48" x14ac:dyDescent="0.4">
      <c r="A4082">
        <v>2313016001</v>
      </c>
      <c r="B4082">
        <v>2313016052</v>
      </c>
      <c r="C4082" t="str">
        <f>T("칵테일로 레벨업 52화")</f>
        <v>칵테일로 레벨업 52화</v>
      </c>
      <c r="D4082" t="str">
        <f>T("52")</f>
        <v>52</v>
      </c>
      <c r="E4082" t="str">
        <f t="shared" si="540"/>
        <v>서강후</v>
      </c>
      <c r="H4082" t="str">
        <f t="shared" si="535"/>
        <v>스토리위즈</v>
      </c>
      <c r="I4082" t="str">
        <f t="shared" si="541"/>
        <v>칵테일로 레벨업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70</v>
      </c>
      <c r="AR4082" t="str">
        <f t="shared" si="542"/>
        <v>0000000000000</v>
      </c>
      <c r="AT4082" t="str">
        <f t="shared" si="543"/>
        <v>9791137601284</v>
      </c>
      <c r="AV4082" t="str">
        <f t="shared" si="539"/>
        <v>판타지 웹소설 &gt; 현대 판타지</v>
      </c>
    </row>
    <row r="4083" spans="1:48" x14ac:dyDescent="0.4">
      <c r="A4083">
        <v>2313016001</v>
      </c>
      <c r="B4083">
        <v>2313016053</v>
      </c>
      <c r="C4083" t="str">
        <f>T("칵테일로 레벨업 53화")</f>
        <v>칵테일로 레벨업 53화</v>
      </c>
      <c r="D4083" t="str">
        <f>T("53")</f>
        <v>53</v>
      </c>
      <c r="E4083" t="str">
        <f t="shared" si="540"/>
        <v>서강후</v>
      </c>
      <c r="H4083" t="str">
        <f t="shared" si="535"/>
        <v>스토리위즈</v>
      </c>
      <c r="I4083" t="str">
        <f t="shared" si="541"/>
        <v>칵테일로 레벨업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70</v>
      </c>
      <c r="AR4083" t="str">
        <f t="shared" si="542"/>
        <v>0000000000000</v>
      </c>
      <c r="AT4083" t="str">
        <f t="shared" si="543"/>
        <v>9791137601284</v>
      </c>
      <c r="AV4083" t="str">
        <f t="shared" si="539"/>
        <v>판타지 웹소설 &gt; 현대 판타지</v>
      </c>
    </row>
    <row r="4084" spans="1:48" x14ac:dyDescent="0.4">
      <c r="A4084">
        <v>2313016001</v>
      </c>
      <c r="B4084">
        <v>2313016054</v>
      </c>
      <c r="C4084" t="str">
        <f>T("칵테일로 레벨업 54화")</f>
        <v>칵테일로 레벨업 54화</v>
      </c>
      <c r="D4084" t="str">
        <f>T("54")</f>
        <v>54</v>
      </c>
      <c r="E4084" t="str">
        <f t="shared" si="540"/>
        <v>서강후</v>
      </c>
      <c r="H4084" t="str">
        <f t="shared" si="535"/>
        <v>스토리위즈</v>
      </c>
      <c r="I4084" t="str">
        <f t="shared" si="541"/>
        <v>칵테일로 레벨업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70</v>
      </c>
      <c r="AR4084" t="str">
        <f t="shared" si="542"/>
        <v>0000000000000</v>
      </c>
      <c r="AT4084" t="str">
        <f t="shared" si="543"/>
        <v>9791137601284</v>
      </c>
      <c r="AV4084" t="str">
        <f t="shared" si="539"/>
        <v>판타지 웹소설 &gt; 현대 판타지</v>
      </c>
    </row>
    <row r="4085" spans="1:48" x14ac:dyDescent="0.4">
      <c r="A4085">
        <v>2313016001</v>
      </c>
      <c r="B4085">
        <v>2313016055</v>
      </c>
      <c r="C4085" t="str">
        <f>T("칵테일로 레벨업 55화")</f>
        <v>칵테일로 레벨업 55화</v>
      </c>
      <c r="D4085" t="str">
        <f>T("55")</f>
        <v>55</v>
      </c>
      <c r="E4085" t="str">
        <f t="shared" si="540"/>
        <v>서강후</v>
      </c>
      <c r="H4085" t="str">
        <f t="shared" si="535"/>
        <v>스토리위즈</v>
      </c>
      <c r="I4085" t="str">
        <f t="shared" si="541"/>
        <v>칵테일로 레벨업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70</v>
      </c>
      <c r="AR4085" t="str">
        <f t="shared" si="542"/>
        <v>0000000000000</v>
      </c>
      <c r="AT4085" t="str">
        <f t="shared" si="543"/>
        <v>9791137601284</v>
      </c>
      <c r="AV4085" t="str">
        <f t="shared" si="539"/>
        <v>판타지 웹소설 &gt; 현대 판타지</v>
      </c>
    </row>
    <row r="4086" spans="1:48" x14ac:dyDescent="0.4">
      <c r="A4086">
        <v>2313016001</v>
      </c>
      <c r="B4086">
        <v>2313016056</v>
      </c>
      <c r="C4086" t="str">
        <f>T("칵테일로 레벨업 56화")</f>
        <v>칵테일로 레벨업 56화</v>
      </c>
      <c r="D4086" t="str">
        <f>T("56")</f>
        <v>56</v>
      </c>
      <c r="E4086" t="str">
        <f t="shared" si="540"/>
        <v>서강후</v>
      </c>
      <c r="H4086" t="str">
        <f t="shared" si="535"/>
        <v>스토리위즈</v>
      </c>
      <c r="I4086" t="str">
        <f t="shared" si="541"/>
        <v>칵테일로 레벨업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70</v>
      </c>
      <c r="AR4086" t="str">
        <f t="shared" si="542"/>
        <v>0000000000000</v>
      </c>
      <c r="AT4086" t="str">
        <f t="shared" si="543"/>
        <v>9791137601284</v>
      </c>
      <c r="AV4086" t="str">
        <f t="shared" si="539"/>
        <v>판타지 웹소설 &gt; 현대 판타지</v>
      </c>
    </row>
    <row r="4087" spans="1:48" x14ac:dyDescent="0.4">
      <c r="A4087">
        <v>2313016001</v>
      </c>
      <c r="B4087">
        <v>2313016057</v>
      </c>
      <c r="C4087" t="str">
        <f>T("칵테일로 레벨업 57화")</f>
        <v>칵테일로 레벨업 57화</v>
      </c>
      <c r="D4087" t="str">
        <f>T("57")</f>
        <v>57</v>
      </c>
      <c r="E4087" t="str">
        <f t="shared" si="540"/>
        <v>서강후</v>
      </c>
      <c r="H4087" t="str">
        <f t="shared" si="535"/>
        <v>스토리위즈</v>
      </c>
      <c r="I4087" t="str">
        <f t="shared" si="541"/>
        <v>칵테일로 레벨업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70</v>
      </c>
      <c r="AR4087" t="str">
        <f t="shared" si="542"/>
        <v>0000000000000</v>
      </c>
      <c r="AT4087" t="str">
        <f t="shared" si="543"/>
        <v>9791137601284</v>
      </c>
      <c r="AV4087" t="str">
        <f t="shared" si="539"/>
        <v>판타지 웹소설 &gt; 현대 판타지</v>
      </c>
    </row>
    <row r="4088" spans="1:48" x14ac:dyDescent="0.4">
      <c r="A4088">
        <v>2313016001</v>
      </c>
      <c r="B4088">
        <v>2313016058</v>
      </c>
      <c r="C4088" t="str">
        <f>T("칵테일로 레벨업 58화")</f>
        <v>칵테일로 레벨업 58화</v>
      </c>
      <c r="D4088" t="str">
        <f>T("58")</f>
        <v>58</v>
      </c>
      <c r="E4088" t="str">
        <f t="shared" si="540"/>
        <v>서강후</v>
      </c>
      <c r="H4088" t="str">
        <f t="shared" si="535"/>
        <v>스토리위즈</v>
      </c>
      <c r="I4088" t="str">
        <f t="shared" si="541"/>
        <v>칵테일로 레벨업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70</v>
      </c>
      <c r="AR4088" t="str">
        <f t="shared" si="542"/>
        <v>0000000000000</v>
      </c>
      <c r="AT4088" t="str">
        <f t="shared" si="543"/>
        <v>9791137601284</v>
      </c>
      <c r="AV4088" t="str">
        <f t="shared" si="539"/>
        <v>판타지 웹소설 &gt; 현대 판타지</v>
      </c>
    </row>
    <row r="4089" spans="1:48" x14ac:dyDescent="0.4">
      <c r="A4089">
        <v>2313016001</v>
      </c>
      <c r="B4089">
        <v>2313016059</v>
      </c>
      <c r="C4089" t="str">
        <f>T("칵테일로 레벨업 59화")</f>
        <v>칵테일로 레벨업 59화</v>
      </c>
      <c r="D4089" t="str">
        <f>T("59")</f>
        <v>59</v>
      </c>
      <c r="E4089" t="str">
        <f t="shared" si="540"/>
        <v>서강후</v>
      </c>
      <c r="H4089" t="str">
        <f t="shared" ref="H4089:H4152" si="544">T("스토리위즈")</f>
        <v>스토리위즈</v>
      </c>
      <c r="I4089" t="str">
        <f t="shared" si="541"/>
        <v>칵테일로 레벨업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70</v>
      </c>
      <c r="AR4089" t="str">
        <f t="shared" si="542"/>
        <v>0000000000000</v>
      </c>
      <c r="AT4089" t="str">
        <f t="shared" si="543"/>
        <v>9791137601284</v>
      </c>
      <c r="AV4089" t="str">
        <f t="shared" si="539"/>
        <v>판타지 웹소설 &gt; 현대 판타지</v>
      </c>
    </row>
    <row r="4090" spans="1:48" x14ac:dyDescent="0.4">
      <c r="A4090">
        <v>2313016001</v>
      </c>
      <c r="B4090">
        <v>2313016060</v>
      </c>
      <c r="C4090" t="str">
        <f>T("칵테일로 레벨업 60화")</f>
        <v>칵테일로 레벨업 60화</v>
      </c>
      <c r="D4090" t="str">
        <f>T("60")</f>
        <v>60</v>
      </c>
      <c r="E4090" t="str">
        <f t="shared" si="540"/>
        <v>서강후</v>
      </c>
      <c r="H4090" t="str">
        <f t="shared" si="544"/>
        <v>스토리위즈</v>
      </c>
      <c r="I4090" t="str">
        <f t="shared" si="541"/>
        <v>칵테일로 레벨업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70</v>
      </c>
      <c r="AR4090" t="str">
        <f t="shared" si="542"/>
        <v>0000000000000</v>
      </c>
      <c r="AT4090" t="str">
        <f t="shared" si="543"/>
        <v>9791137601284</v>
      </c>
      <c r="AV4090" t="str">
        <f t="shared" si="539"/>
        <v>판타지 웹소설 &gt; 현대 판타지</v>
      </c>
    </row>
    <row r="4091" spans="1:48" x14ac:dyDescent="0.4">
      <c r="A4091">
        <v>2313016001</v>
      </c>
      <c r="B4091">
        <v>2313016061</v>
      </c>
      <c r="C4091" t="str">
        <f>T("칵테일로 레벨업 61화")</f>
        <v>칵테일로 레벨업 61화</v>
      </c>
      <c r="D4091" t="str">
        <f>T("61")</f>
        <v>61</v>
      </c>
      <c r="E4091" t="str">
        <f t="shared" si="540"/>
        <v>서강후</v>
      </c>
      <c r="H4091" t="str">
        <f t="shared" si="544"/>
        <v>스토리위즈</v>
      </c>
      <c r="I4091" t="str">
        <f t="shared" si="541"/>
        <v>칵테일로 레벨업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70</v>
      </c>
      <c r="AR4091" t="str">
        <f t="shared" si="542"/>
        <v>0000000000000</v>
      </c>
      <c r="AT4091" t="str">
        <f t="shared" si="543"/>
        <v>9791137601284</v>
      </c>
      <c r="AV4091" t="str">
        <f t="shared" si="539"/>
        <v>판타지 웹소설 &gt; 현대 판타지</v>
      </c>
    </row>
    <row r="4092" spans="1:48" x14ac:dyDescent="0.4">
      <c r="A4092">
        <v>2313016001</v>
      </c>
      <c r="B4092">
        <v>2313016062</v>
      </c>
      <c r="C4092" t="str">
        <f>T("칵테일로 레벨업 62화")</f>
        <v>칵테일로 레벨업 62화</v>
      </c>
      <c r="D4092" t="str">
        <f>T("62")</f>
        <v>62</v>
      </c>
      <c r="E4092" t="str">
        <f t="shared" si="540"/>
        <v>서강후</v>
      </c>
      <c r="H4092" t="str">
        <f t="shared" si="544"/>
        <v>스토리위즈</v>
      </c>
      <c r="I4092" t="str">
        <f t="shared" si="541"/>
        <v>칵테일로 레벨업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70</v>
      </c>
      <c r="AR4092" t="str">
        <f t="shared" si="542"/>
        <v>0000000000000</v>
      </c>
      <c r="AT4092" t="str">
        <f t="shared" si="543"/>
        <v>9791137601284</v>
      </c>
      <c r="AV4092" t="str">
        <f t="shared" ref="AV4092:AV4112" si="545">T("판타지 웹소설 &gt; 현대 판타지")</f>
        <v>판타지 웹소설 &gt; 현대 판타지</v>
      </c>
    </row>
    <row r="4093" spans="1:48" x14ac:dyDescent="0.4">
      <c r="A4093">
        <v>2313016001</v>
      </c>
      <c r="B4093">
        <v>2313016063</v>
      </c>
      <c r="C4093" t="str">
        <f>T("칵테일로 레벨업 63화")</f>
        <v>칵테일로 레벨업 63화</v>
      </c>
      <c r="D4093" t="str">
        <f>T("63")</f>
        <v>63</v>
      </c>
      <c r="E4093" t="str">
        <f t="shared" si="540"/>
        <v>서강후</v>
      </c>
      <c r="H4093" t="str">
        <f t="shared" si="544"/>
        <v>스토리위즈</v>
      </c>
      <c r="I4093" t="str">
        <f t="shared" si="541"/>
        <v>칵테일로 레벨업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70</v>
      </c>
      <c r="AR4093" t="str">
        <f t="shared" si="542"/>
        <v>0000000000000</v>
      </c>
      <c r="AT4093" t="str">
        <f t="shared" si="543"/>
        <v>9791137601284</v>
      </c>
      <c r="AV4093" t="str">
        <f t="shared" si="545"/>
        <v>판타지 웹소설 &gt; 현대 판타지</v>
      </c>
    </row>
    <row r="4094" spans="1:48" x14ac:dyDescent="0.4">
      <c r="A4094">
        <v>2313016001</v>
      </c>
      <c r="B4094">
        <v>2313016064</v>
      </c>
      <c r="C4094" t="str">
        <f>T("칵테일로 레벨업 64화")</f>
        <v>칵테일로 레벨업 64화</v>
      </c>
      <c r="D4094" t="str">
        <f>T("64")</f>
        <v>64</v>
      </c>
      <c r="E4094" t="str">
        <f t="shared" si="540"/>
        <v>서강후</v>
      </c>
      <c r="H4094" t="str">
        <f t="shared" si="544"/>
        <v>스토리위즈</v>
      </c>
      <c r="I4094" t="str">
        <f t="shared" si="541"/>
        <v>칵테일로 레벨업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70</v>
      </c>
      <c r="AR4094" t="str">
        <f t="shared" si="542"/>
        <v>0000000000000</v>
      </c>
      <c r="AT4094" t="str">
        <f t="shared" si="543"/>
        <v>9791137601284</v>
      </c>
      <c r="AV4094" t="str">
        <f t="shared" si="545"/>
        <v>판타지 웹소설 &gt; 현대 판타지</v>
      </c>
    </row>
    <row r="4095" spans="1:48" x14ac:dyDescent="0.4">
      <c r="A4095">
        <v>2313016001</v>
      </c>
      <c r="B4095">
        <v>2313016065</v>
      </c>
      <c r="C4095" t="str">
        <f>T("칵테일로 레벨업 65화")</f>
        <v>칵테일로 레벨업 65화</v>
      </c>
      <c r="D4095" t="str">
        <f>T("65")</f>
        <v>65</v>
      </c>
      <c r="E4095" t="str">
        <f t="shared" si="540"/>
        <v>서강후</v>
      </c>
      <c r="H4095" t="str">
        <f t="shared" si="544"/>
        <v>스토리위즈</v>
      </c>
      <c r="I4095" t="str">
        <f t="shared" si="541"/>
        <v>칵테일로 레벨업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70</v>
      </c>
      <c r="AR4095" t="str">
        <f t="shared" si="542"/>
        <v>0000000000000</v>
      </c>
      <c r="AT4095" t="str">
        <f t="shared" si="543"/>
        <v>9791137601284</v>
      </c>
      <c r="AV4095" t="str">
        <f t="shared" si="545"/>
        <v>판타지 웹소설 &gt; 현대 판타지</v>
      </c>
    </row>
    <row r="4096" spans="1:48" x14ac:dyDescent="0.4">
      <c r="A4096">
        <v>2313016001</v>
      </c>
      <c r="B4096">
        <v>2313016066</v>
      </c>
      <c r="C4096" t="str">
        <f>T("칵테일로 레벨업 66화")</f>
        <v>칵테일로 레벨업 66화</v>
      </c>
      <c r="D4096" t="str">
        <f>T("66")</f>
        <v>66</v>
      </c>
      <c r="E4096" t="str">
        <f t="shared" si="540"/>
        <v>서강후</v>
      </c>
      <c r="H4096" t="str">
        <f t="shared" si="544"/>
        <v>스토리위즈</v>
      </c>
      <c r="I4096" t="str">
        <f t="shared" si="541"/>
        <v>칵테일로 레벨업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70</v>
      </c>
      <c r="AR4096" t="str">
        <f t="shared" si="542"/>
        <v>0000000000000</v>
      </c>
      <c r="AT4096" t="str">
        <f t="shared" si="543"/>
        <v>9791137601284</v>
      </c>
      <c r="AV4096" t="str">
        <f t="shared" si="545"/>
        <v>판타지 웹소설 &gt; 현대 판타지</v>
      </c>
    </row>
    <row r="4097" spans="1:48" x14ac:dyDescent="0.4">
      <c r="A4097">
        <v>2313016001</v>
      </c>
      <c r="B4097">
        <v>2313016067</v>
      </c>
      <c r="C4097" t="str">
        <f>T("칵테일로 레벨업 67화")</f>
        <v>칵테일로 레벨업 67화</v>
      </c>
      <c r="D4097" t="str">
        <f>T("67")</f>
        <v>67</v>
      </c>
      <c r="E4097" t="str">
        <f t="shared" si="540"/>
        <v>서강후</v>
      </c>
      <c r="H4097" t="str">
        <f t="shared" si="544"/>
        <v>스토리위즈</v>
      </c>
      <c r="I4097" t="str">
        <f t="shared" si="541"/>
        <v>칵테일로 레벨업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70</v>
      </c>
      <c r="AR4097" t="str">
        <f t="shared" si="542"/>
        <v>0000000000000</v>
      </c>
      <c r="AT4097" t="str">
        <f t="shared" si="543"/>
        <v>9791137601284</v>
      </c>
      <c r="AV4097" t="str">
        <f t="shared" si="545"/>
        <v>판타지 웹소설 &gt; 현대 판타지</v>
      </c>
    </row>
    <row r="4098" spans="1:48" x14ac:dyDescent="0.4">
      <c r="A4098">
        <v>2313016001</v>
      </c>
      <c r="B4098">
        <v>2313016068</v>
      </c>
      <c r="C4098" t="str">
        <f>T("칵테일로 레벨업 68화")</f>
        <v>칵테일로 레벨업 68화</v>
      </c>
      <c r="D4098" t="str">
        <f>T("68")</f>
        <v>68</v>
      </c>
      <c r="E4098" t="str">
        <f t="shared" si="540"/>
        <v>서강후</v>
      </c>
      <c r="H4098" t="str">
        <f t="shared" si="544"/>
        <v>스토리위즈</v>
      </c>
      <c r="I4098" t="str">
        <f t="shared" si="541"/>
        <v>칵테일로 레벨업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70</v>
      </c>
      <c r="AR4098" t="str">
        <f t="shared" si="542"/>
        <v>0000000000000</v>
      </c>
      <c r="AT4098" t="str">
        <f t="shared" si="543"/>
        <v>9791137601284</v>
      </c>
      <c r="AV4098" t="str">
        <f t="shared" si="545"/>
        <v>판타지 웹소설 &gt; 현대 판타지</v>
      </c>
    </row>
    <row r="4099" spans="1:48" x14ac:dyDescent="0.4">
      <c r="A4099">
        <v>2313016001</v>
      </c>
      <c r="B4099">
        <v>2313016069</v>
      </c>
      <c r="C4099" t="str">
        <f>T("칵테일로 레벨업 69화")</f>
        <v>칵테일로 레벨업 69화</v>
      </c>
      <c r="D4099" t="str">
        <f>T("69")</f>
        <v>69</v>
      </c>
      <c r="E4099" t="str">
        <f t="shared" si="540"/>
        <v>서강후</v>
      </c>
      <c r="H4099" t="str">
        <f t="shared" si="544"/>
        <v>스토리위즈</v>
      </c>
      <c r="I4099" t="str">
        <f t="shared" si="541"/>
        <v>칵테일로 레벨업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70</v>
      </c>
      <c r="AR4099" t="str">
        <f t="shared" si="542"/>
        <v>0000000000000</v>
      </c>
      <c r="AT4099" t="str">
        <f t="shared" si="543"/>
        <v>9791137601284</v>
      </c>
      <c r="AV4099" t="str">
        <f t="shared" si="545"/>
        <v>판타지 웹소설 &gt; 현대 판타지</v>
      </c>
    </row>
    <row r="4100" spans="1:48" x14ac:dyDescent="0.4">
      <c r="A4100">
        <v>2313016001</v>
      </c>
      <c r="B4100">
        <v>2313016070</v>
      </c>
      <c r="C4100" t="str">
        <f>T("칵테일로 레벨업 70화")</f>
        <v>칵테일로 레벨업 70화</v>
      </c>
      <c r="D4100" t="str">
        <f>T("70")</f>
        <v>70</v>
      </c>
      <c r="E4100" t="str">
        <f t="shared" si="540"/>
        <v>서강후</v>
      </c>
      <c r="H4100" t="str">
        <f t="shared" si="544"/>
        <v>스토리위즈</v>
      </c>
      <c r="I4100" t="str">
        <f t="shared" si="541"/>
        <v>칵테일로 레벨업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70</v>
      </c>
      <c r="AR4100" t="str">
        <f t="shared" si="542"/>
        <v>0000000000000</v>
      </c>
      <c r="AT4100" t="str">
        <f t="shared" si="543"/>
        <v>9791137601284</v>
      </c>
      <c r="AV4100" t="str">
        <f t="shared" si="545"/>
        <v>판타지 웹소설 &gt; 현대 판타지</v>
      </c>
    </row>
    <row r="4101" spans="1:48" x14ac:dyDescent="0.4">
      <c r="A4101">
        <v>2313016001</v>
      </c>
      <c r="B4101">
        <v>2313016071</v>
      </c>
      <c r="C4101" t="str">
        <f>T("칵테일로 레벨업 71화")</f>
        <v>칵테일로 레벨업 71화</v>
      </c>
      <c r="D4101" t="str">
        <f>T("71")</f>
        <v>71</v>
      </c>
      <c r="E4101" t="str">
        <f t="shared" si="540"/>
        <v>서강후</v>
      </c>
      <c r="H4101" t="str">
        <f t="shared" si="544"/>
        <v>스토리위즈</v>
      </c>
      <c r="I4101" t="str">
        <f t="shared" si="541"/>
        <v>칵테일로 레벨업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70</v>
      </c>
      <c r="AR4101" t="str">
        <f t="shared" si="542"/>
        <v>0000000000000</v>
      </c>
      <c r="AT4101" t="str">
        <f t="shared" si="543"/>
        <v>9791137601284</v>
      </c>
      <c r="AV4101" t="str">
        <f t="shared" si="545"/>
        <v>판타지 웹소설 &gt; 현대 판타지</v>
      </c>
    </row>
    <row r="4102" spans="1:48" x14ac:dyDescent="0.4">
      <c r="A4102">
        <v>2313016001</v>
      </c>
      <c r="B4102">
        <v>2313016072</v>
      </c>
      <c r="C4102" t="str">
        <f>T("칵테일로 레벨업 72화")</f>
        <v>칵테일로 레벨업 72화</v>
      </c>
      <c r="D4102" t="str">
        <f>T("72")</f>
        <v>72</v>
      </c>
      <c r="E4102" t="str">
        <f t="shared" si="540"/>
        <v>서강후</v>
      </c>
      <c r="H4102" t="str">
        <f t="shared" si="544"/>
        <v>스토리위즈</v>
      </c>
      <c r="I4102" t="str">
        <f t="shared" si="541"/>
        <v>칵테일로 레벨업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70</v>
      </c>
      <c r="AR4102" t="str">
        <f t="shared" si="542"/>
        <v>0000000000000</v>
      </c>
      <c r="AT4102" t="str">
        <f t="shared" si="543"/>
        <v>9791137601284</v>
      </c>
      <c r="AV4102" t="str">
        <f t="shared" si="545"/>
        <v>판타지 웹소설 &gt; 현대 판타지</v>
      </c>
    </row>
    <row r="4103" spans="1:48" x14ac:dyDescent="0.4">
      <c r="A4103">
        <v>2313016001</v>
      </c>
      <c r="B4103">
        <v>2313016073</v>
      </c>
      <c r="C4103" t="str">
        <f>T("칵테일로 레벨업 73화")</f>
        <v>칵테일로 레벨업 73화</v>
      </c>
      <c r="D4103" t="str">
        <f>T("73")</f>
        <v>73</v>
      </c>
      <c r="E4103" t="str">
        <f t="shared" si="540"/>
        <v>서강후</v>
      </c>
      <c r="H4103" t="str">
        <f t="shared" si="544"/>
        <v>스토리위즈</v>
      </c>
      <c r="I4103" t="str">
        <f t="shared" si="541"/>
        <v>칵테일로 레벨업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70</v>
      </c>
      <c r="AR4103" t="str">
        <f t="shared" si="542"/>
        <v>0000000000000</v>
      </c>
      <c r="AT4103" t="str">
        <f t="shared" si="543"/>
        <v>9791137601284</v>
      </c>
      <c r="AV4103" t="str">
        <f t="shared" si="545"/>
        <v>판타지 웹소설 &gt; 현대 판타지</v>
      </c>
    </row>
    <row r="4104" spans="1:48" x14ac:dyDescent="0.4">
      <c r="A4104">
        <v>2313016001</v>
      </c>
      <c r="B4104">
        <v>2313016074</v>
      </c>
      <c r="C4104" t="str">
        <f>T("칵테일로 레벨업 74화")</f>
        <v>칵테일로 레벨업 74화</v>
      </c>
      <c r="D4104" t="str">
        <f>T("74")</f>
        <v>74</v>
      </c>
      <c r="E4104" t="str">
        <f t="shared" si="540"/>
        <v>서강후</v>
      </c>
      <c r="H4104" t="str">
        <f t="shared" si="544"/>
        <v>스토리위즈</v>
      </c>
      <c r="I4104" t="str">
        <f t="shared" si="541"/>
        <v>칵테일로 레벨업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70</v>
      </c>
      <c r="AR4104" t="str">
        <f t="shared" si="542"/>
        <v>0000000000000</v>
      </c>
      <c r="AT4104" t="str">
        <f t="shared" si="543"/>
        <v>9791137601284</v>
      </c>
      <c r="AV4104" t="str">
        <f t="shared" si="545"/>
        <v>판타지 웹소설 &gt; 현대 판타지</v>
      </c>
    </row>
    <row r="4105" spans="1:48" x14ac:dyDescent="0.4">
      <c r="A4105">
        <v>2313016001</v>
      </c>
      <c r="B4105">
        <v>2313016075</v>
      </c>
      <c r="C4105" t="str">
        <f>T("칵테일로 레벨업 75화")</f>
        <v>칵테일로 레벨업 75화</v>
      </c>
      <c r="D4105" t="str">
        <f>T("75")</f>
        <v>75</v>
      </c>
      <c r="E4105" t="str">
        <f t="shared" si="540"/>
        <v>서강후</v>
      </c>
      <c r="H4105" t="str">
        <f t="shared" si="544"/>
        <v>스토리위즈</v>
      </c>
      <c r="I4105" t="str">
        <f t="shared" si="541"/>
        <v>칵테일로 레벨업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70</v>
      </c>
      <c r="AR4105" t="str">
        <f t="shared" si="542"/>
        <v>0000000000000</v>
      </c>
      <c r="AT4105" t="str">
        <f t="shared" si="543"/>
        <v>9791137601284</v>
      </c>
      <c r="AV4105" t="str">
        <f t="shared" si="545"/>
        <v>판타지 웹소설 &gt; 현대 판타지</v>
      </c>
    </row>
    <row r="4106" spans="1:48" x14ac:dyDescent="0.4">
      <c r="A4106">
        <v>2313016001</v>
      </c>
      <c r="B4106">
        <v>2313016076</v>
      </c>
      <c r="C4106" t="str">
        <f>T("칵테일로 레벨업 76화")</f>
        <v>칵테일로 레벨업 76화</v>
      </c>
      <c r="D4106" t="str">
        <f>T("76")</f>
        <v>76</v>
      </c>
      <c r="E4106" t="str">
        <f t="shared" si="540"/>
        <v>서강후</v>
      </c>
      <c r="H4106" t="str">
        <f t="shared" si="544"/>
        <v>스토리위즈</v>
      </c>
      <c r="I4106" t="str">
        <f t="shared" si="541"/>
        <v>칵테일로 레벨업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70</v>
      </c>
      <c r="AR4106" t="str">
        <f t="shared" si="542"/>
        <v>0000000000000</v>
      </c>
      <c r="AT4106" t="str">
        <f t="shared" si="543"/>
        <v>9791137601284</v>
      </c>
      <c r="AV4106" t="str">
        <f t="shared" si="545"/>
        <v>판타지 웹소설 &gt; 현대 판타지</v>
      </c>
    </row>
    <row r="4107" spans="1:48" x14ac:dyDescent="0.4">
      <c r="A4107">
        <v>2313016001</v>
      </c>
      <c r="B4107">
        <v>2313016077</v>
      </c>
      <c r="C4107" t="str">
        <f>T("칵테일로 레벨업 77화")</f>
        <v>칵테일로 레벨업 77화</v>
      </c>
      <c r="D4107" t="str">
        <f>T("77")</f>
        <v>77</v>
      </c>
      <c r="E4107" t="str">
        <f t="shared" si="540"/>
        <v>서강후</v>
      </c>
      <c r="H4107" t="str">
        <f t="shared" si="544"/>
        <v>스토리위즈</v>
      </c>
      <c r="I4107" t="str">
        <f t="shared" si="541"/>
        <v>칵테일로 레벨업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70</v>
      </c>
      <c r="AR4107" t="str">
        <f t="shared" si="542"/>
        <v>0000000000000</v>
      </c>
      <c r="AT4107" t="str">
        <f t="shared" si="543"/>
        <v>9791137601284</v>
      </c>
      <c r="AV4107" t="str">
        <f t="shared" si="545"/>
        <v>판타지 웹소설 &gt; 현대 판타지</v>
      </c>
    </row>
    <row r="4108" spans="1:48" x14ac:dyDescent="0.4">
      <c r="A4108">
        <v>2313016001</v>
      </c>
      <c r="B4108">
        <v>2313016078</v>
      </c>
      <c r="C4108" t="str">
        <f>T("칵테일로 레벨업 78화")</f>
        <v>칵테일로 레벨업 78화</v>
      </c>
      <c r="D4108" t="str">
        <f>T("78")</f>
        <v>78</v>
      </c>
      <c r="E4108" t="str">
        <f t="shared" si="540"/>
        <v>서강후</v>
      </c>
      <c r="H4108" t="str">
        <f t="shared" si="544"/>
        <v>스토리위즈</v>
      </c>
      <c r="I4108" t="str">
        <f t="shared" si="541"/>
        <v>칵테일로 레벨업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70</v>
      </c>
      <c r="AR4108" t="str">
        <f t="shared" si="542"/>
        <v>0000000000000</v>
      </c>
      <c r="AT4108" t="str">
        <f t="shared" si="543"/>
        <v>9791137601284</v>
      </c>
      <c r="AV4108" t="str">
        <f t="shared" si="545"/>
        <v>판타지 웹소설 &gt; 현대 판타지</v>
      </c>
    </row>
    <row r="4109" spans="1:48" x14ac:dyDescent="0.4">
      <c r="A4109">
        <v>2313016001</v>
      </c>
      <c r="B4109">
        <v>2313016079</v>
      </c>
      <c r="C4109" t="str">
        <f>T("칵테일로 레벨업 79화")</f>
        <v>칵테일로 레벨업 79화</v>
      </c>
      <c r="D4109" t="str">
        <f>T("79")</f>
        <v>79</v>
      </c>
      <c r="E4109" t="str">
        <f t="shared" si="540"/>
        <v>서강후</v>
      </c>
      <c r="H4109" t="str">
        <f t="shared" si="544"/>
        <v>스토리위즈</v>
      </c>
      <c r="I4109" t="str">
        <f t="shared" si="541"/>
        <v>칵테일로 레벨업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70</v>
      </c>
      <c r="AR4109" t="str">
        <f t="shared" si="542"/>
        <v>0000000000000</v>
      </c>
      <c r="AT4109" t="str">
        <f t="shared" si="543"/>
        <v>9791137601284</v>
      </c>
      <c r="AV4109" t="str">
        <f t="shared" si="545"/>
        <v>판타지 웹소설 &gt; 현대 판타지</v>
      </c>
    </row>
    <row r="4110" spans="1:48" x14ac:dyDescent="0.4">
      <c r="A4110">
        <v>2313016001</v>
      </c>
      <c r="B4110">
        <v>2313016080</v>
      </c>
      <c r="C4110" t="str">
        <f>T("칵테일로 레벨업 80화")</f>
        <v>칵테일로 레벨업 80화</v>
      </c>
      <c r="D4110" t="str">
        <f>T("80")</f>
        <v>80</v>
      </c>
      <c r="E4110" t="str">
        <f t="shared" si="540"/>
        <v>서강후</v>
      </c>
      <c r="H4110" t="str">
        <f t="shared" si="544"/>
        <v>스토리위즈</v>
      </c>
      <c r="I4110" t="str">
        <f t="shared" si="541"/>
        <v>칵테일로 레벨업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70</v>
      </c>
      <c r="AR4110" t="str">
        <f t="shared" si="542"/>
        <v>0000000000000</v>
      </c>
      <c r="AT4110" t="str">
        <f t="shared" si="543"/>
        <v>9791137601284</v>
      </c>
      <c r="AV4110" t="str">
        <f t="shared" si="545"/>
        <v>판타지 웹소설 &gt; 현대 판타지</v>
      </c>
    </row>
    <row r="4111" spans="1:48" x14ac:dyDescent="0.4">
      <c r="A4111">
        <v>2313016001</v>
      </c>
      <c r="B4111">
        <v>2313016081</v>
      </c>
      <c r="C4111" t="str">
        <f>T("칵테일로 레벨업 81화")</f>
        <v>칵테일로 레벨업 81화</v>
      </c>
      <c r="D4111" t="str">
        <f>T("81")</f>
        <v>81</v>
      </c>
      <c r="E4111" t="str">
        <f t="shared" si="540"/>
        <v>서강후</v>
      </c>
      <c r="H4111" t="str">
        <f t="shared" si="544"/>
        <v>스토리위즈</v>
      </c>
      <c r="I4111" t="str">
        <f t="shared" si="541"/>
        <v>칵테일로 레벨업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70</v>
      </c>
      <c r="AR4111" t="str">
        <f t="shared" si="542"/>
        <v>0000000000000</v>
      </c>
      <c r="AT4111" t="str">
        <f t="shared" si="543"/>
        <v>9791137601284</v>
      </c>
      <c r="AV4111" t="str">
        <f t="shared" si="545"/>
        <v>판타지 웹소설 &gt; 현대 판타지</v>
      </c>
    </row>
    <row r="4112" spans="1:48" x14ac:dyDescent="0.4">
      <c r="A4112">
        <v>2313016001</v>
      </c>
      <c r="B4112">
        <v>2313016091</v>
      </c>
      <c r="C4112" t="str">
        <f>T("칵테일로 레벨업 91화")</f>
        <v>칵테일로 레벨업 91화</v>
      </c>
      <c r="D4112" t="str">
        <f>T("91")</f>
        <v>91</v>
      </c>
      <c r="E4112" t="str">
        <f t="shared" si="540"/>
        <v>서강후</v>
      </c>
      <c r="H4112" t="str">
        <f t="shared" si="544"/>
        <v>스토리위즈</v>
      </c>
      <c r="I4112" t="str">
        <f t="shared" si="541"/>
        <v>칵테일로 레벨업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70</v>
      </c>
      <c r="AR4112" t="str">
        <f t="shared" si="542"/>
        <v>0000000000000</v>
      </c>
      <c r="AT4112" t="str">
        <f t="shared" si="543"/>
        <v>9791137601284</v>
      </c>
      <c r="AV4112" t="str">
        <f t="shared" si="545"/>
        <v>판타지 웹소설 &gt; 현대 판타지</v>
      </c>
    </row>
    <row r="4113" spans="1:48" x14ac:dyDescent="0.4">
      <c r="A4113">
        <v>2313016217</v>
      </c>
      <c r="B4113">
        <v>2313016293</v>
      </c>
      <c r="C4113" t="str">
        <f>T("내 안에 흑염룡이 산다! 77화")</f>
        <v>내 안에 흑염룡이 산다! 77화</v>
      </c>
      <c r="D4113" t="str">
        <f>T("77")</f>
        <v>77</v>
      </c>
      <c r="E4113" t="str">
        <f t="shared" ref="E4113:E4176" si="546">T("리세마라")</f>
        <v>리세마라</v>
      </c>
      <c r="H4113" t="str">
        <f t="shared" si="544"/>
        <v>스토리위즈</v>
      </c>
      <c r="I4113" t="str">
        <f t="shared" ref="I4113:I4176" si="547">T("내 안에 흑염룡이 산다!")</f>
        <v>내 안에 흑염룡이 산다!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70</v>
      </c>
      <c r="AT4113" t="str">
        <f t="shared" ref="AT4113:AT4176" si="548">T("9791137601338")</f>
        <v>9791137601338</v>
      </c>
      <c r="AV4113" t="str">
        <f t="shared" ref="AV4113:AV4176" si="549">T("판타지 웹소설 &gt; 퓨전 판타지")</f>
        <v>판타지 웹소설 &gt; 퓨전 판타지</v>
      </c>
    </row>
    <row r="4114" spans="1:48" x14ac:dyDescent="0.4">
      <c r="A4114">
        <v>2313016217</v>
      </c>
      <c r="B4114">
        <v>2313016294</v>
      </c>
      <c r="C4114" t="str">
        <f>T("내 안에 흑염룡이 산다! 78화")</f>
        <v>내 안에 흑염룡이 산다! 78화</v>
      </c>
      <c r="D4114" t="str">
        <f>T("78")</f>
        <v>78</v>
      </c>
      <c r="E4114" t="str">
        <f t="shared" si="546"/>
        <v>리세마라</v>
      </c>
      <c r="H4114" t="str">
        <f t="shared" si="544"/>
        <v>스토리위즈</v>
      </c>
      <c r="I4114" t="str">
        <f t="shared" si="547"/>
        <v>내 안에 흑염룡이 산다!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70</v>
      </c>
      <c r="AT4114" t="str">
        <f t="shared" si="548"/>
        <v>9791137601338</v>
      </c>
      <c r="AV4114" t="str">
        <f t="shared" si="549"/>
        <v>판타지 웹소설 &gt; 퓨전 판타지</v>
      </c>
    </row>
    <row r="4115" spans="1:48" x14ac:dyDescent="0.4">
      <c r="A4115">
        <v>2313016217</v>
      </c>
      <c r="B4115">
        <v>2313016295</v>
      </c>
      <c r="C4115" t="str">
        <f>T("내 안에 흑염룡이 산다! 79화")</f>
        <v>내 안에 흑염룡이 산다! 79화</v>
      </c>
      <c r="D4115" t="str">
        <f>T("79")</f>
        <v>79</v>
      </c>
      <c r="E4115" t="str">
        <f t="shared" si="546"/>
        <v>리세마라</v>
      </c>
      <c r="H4115" t="str">
        <f t="shared" si="544"/>
        <v>스토리위즈</v>
      </c>
      <c r="I4115" t="str">
        <f t="shared" si="547"/>
        <v>내 안에 흑염룡이 산다!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70</v>
      </c>
      <c r="AT4115" t="str">
        <f t="shared" si="548"/>
        <v>9791137601338</v>
      </c>
      <c r="AV4115" t="str">
        <f t="shared" si="549"/>
        <v>판타지 웹소설 &gt; 퓨전 판타지</v>
      </c>
    </row>
    <row r="4116" spans="1:48" x14ac:dyDescent="0.4">
      <c r="A4116">
        <v>2313016217</v>
      </c>
      <c r="B4116">
        <v>2313016296</v>
      </c>
      <c r="C4116" t="str">
        <f>T("내 안에 흑염룡이 산다! 80화")</f>
        <v>내 안에 흑염룡이 산다! 80화</v>
      </c>
      <c r="D4116" t="str">
        <f>T("80")</f>
        <v>80</v>
      </c>
      <c r="E4116" t="str">
        <f t="shared" si="546"/>
        <v>리세마라</v>
      </c>
      <c r="H4116" t="str">
        <f t="shared" si="544"/>
        <v>스토리위즈</v>
      </c>
      <c r="I4116" t="str">
        <f t="shared" si="547"/>
        <v>내 안에 흑염룡이 산다!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70</v>
      </c>
      <c r="AT4116" t="str">
        <f t="shared" si="548"/>
        <v>9791137601338</v>
      </c>
      <c r="AV4116" t="str">
        <f t="shared" si="549"/>
        <v>판타지 웹소설 &gt; 퓨전 판타지</v>
      </c>
    </row>
    <row r="4117" spans="1:48" x14ac:dyDescent="0.4">
      <c r="A4117">
        <v>2313016217</v>
      </c>
      <c r="B4117">
        <v>2313016297</v>
      </c>
      <c r="C4117" t="str">
        <f>T("내 안에 흑염룡이 산다! 81화")</f>
        <v>내 안에 흑염룡이 산다! 81화</v>
      </c>
      <c r="D4117" t="str">
        <f>T("81")</f>
        <v>81</v>
      </c>
      <c r="E4117" t="str">
        <f t="shared" si="546"/>
        <v>리세마라</v>
      </c>
      <c r="H4117" t="str">
        <f t="shared" si="544"/>
        <v>스토리위즈</v>
      </c>
      <c r="I4117" t="str">
        <f t="shared" si="547"/>
        <v>내 안에 흑염룡이 산다!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70</v>
      </c>
      <c r="AT4117" t="str">
        <f t="shared" si="548"/>
        <v>9791137601338</v>
      </c>
      <c r="AV4117" t="str">
        <f t="shared" si="549"/>
        <v>판타지 웹소설 &gt; 퓨전 판타지</v>
      </c>
    </row>
    <row r="4118" spans="1:48" x14ac:dyDescent="0.4">
      <c r="A4118">
        <v>2313016217</v>
      </c>
      <c r="B4118">
        <v>2313016298</v>
      </c>
      <c r="C4118" t="str">
        <f>T("내 안에 흑염룡이 산다! 82화")</f>
        <v>내 안에 흑염룡이 산다! 82화</v>
      </c>
      <c r="D4118" t="str">
        <f>T("82")</f>
        <v>82</v>
      </c>
      <c r="E4118" t="str">
        <f t="shared" si="546"/>
        <v>리세마라</v>
      </c>
      <c r="H4118" t="str">
        <f t="shared" si="544"/>
        <v>스토리위즈</v>
      </c>
      <c r="I4118" t="str">
        <f t="shared" si="547"/>
        <v>내 안에 흑염룡이 산다!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70</v>
      </c>
      <c r="AT4118" t="str">
        <f t="shared" si="548"/>
        <v>9791137601338</v>
      </c>
      <c r="AV4118" t="str">
        <f t="shared" si="549"/>
        <v>판타지 웹소설 &gt; 퓨전 판타지</v>
      </c>
    </row>
    <row r="4119" spans="1:48" x14ac:dyDescent="0.4">
      <c r="A4119">
        <v>2313016217</v>
      </c>
      <c r="B4119">
        <v>2313016299</v>
      </c>
      <c r="C4119" t="str">
        <f>T("내 안에 흑염룡이 산다! 83화")</f>
        <v>내 안에 흑염룡이 산다! 83화</v>
      </c>
      <c r="D4119" t="str">
        <f>T("83")</f>
        <v>83</v>
      </c>
      <c r="E4119" t="str">
        <f t="shared" si="546"/>
        <v>리세마라</v>
      </c>
      <c r="H4119" t="str">
        <f t="shared" si="544"/>
        <v>스토리위즈</v>
      </c>
      <c r="I4119" t="str">
        <f t="shared" si="547"/>
        <v>내 안에 흑염룡이 산다!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70</v>
      </c>
      <c r="AT4119" t="str">
        <f t="shared" si="548"/>
        <v>9791137601338</v>
      </c>
      <c r="AV4119" t="str">
        <f t="shared" si="549"/>
        <v>판타지 웹소설 &gt; 퓨전 판타지</v>
      </c>
    </row>
    <row r="4120" spans="1:48" x14ac:dyDescent="0.4">
      <c r="A4120">
        <v>2313016217</v>
      </c>
      <c r="B4120">
        <v>2313016300</v>
      </c>
      <c r="C4120" t="str">
        <f>T("내 안에 흑염룡이 산다! 84화")</f>
        <v>내 안에 흑염룡이 산다! 84화</v>
      </c>
      <c r="D4120" t="str">
        <f>T("84")</f>
        <v>84</v>
      </c>
      <c r="E4120" t="str">
        <f t="shared" si="546"/>
        <v>리세마라</v>
      </c>
      <c r="H4120" t="str">
        <f t="shared" si="544"/>
        <v>스토리위즈</v>
      </c>
      <c r="I4120" t="str">
        <f t="shared" si="547"/>
        <v>내 안에 흑염룡이 산다!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70</v>
      </c>
      <c r="AT4120" t="str">
        <f t="shared" si="548"/>
        <v>9791137601338</v>
      </c>
      <c r="AV4120" t="str">
        <f t="shared" si="549"/>
        <v>판타지 웹소설 &gt; 퓨전 판타지</v>
      </c>
    </row>
    <row r="4121" spans="1:48" x14ac:dyDescent="0.4">
      <c r="A4121">
        <v>2313016217</v>
      </c>
      <c r="B4121">
        <v>2313016301</v>
      </c>
      <c r="C4121" t="str">
        <f>T("내 안에 흑염룡이 산다! 85화")</f>
        <v>내 안에 흑염룡이 산다! 85화</v>
      </c>
      <c r="D4121" t="str">
        <f>T("85")</f>
        <v>85</v>
      </c>
      <c r="E4121" t="str">
        <f t="shared" si="546"/>
        <v>리세마라</v>
      </c>
      <c r="H4121" t="str">
        <f t="shared" si="544"/>
        <v>스토리위즈</v>
      </c>
      <c r="I4121" t="str">
        <f t="shared" si="547"/>
        <v>내 안에 흑염룡이 산다!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70</v>
      </c>
      <c r="AT4121" t="str">
        <f t="shared" si="548"/>
        <v>9791137601338</v>
      </c>
      <c r="AV4121" t="str">
        <f t="shared" si="549"/>
        <v>판타지 웹소설 &gt; 퓨전 판타지</v>
      </c>
    </row>
    <row r="4122" spans="1:48" x14ac:dyDescent="0.4">
      <c r="A4122">
        <v>2313016217</v>
      </c>
      <c r="B4122">
        <v>2313016302</v>
      </c>
      <c r="C4122" t="str">
        <f>T("내 안에 흑염룡이 산다! 86화")</f>
        <v>내 안에 흑염룡이 산다! 86화</v>
      </c>
      <c r="D4122" t="str">
        <f>T("86")</f>
        <v>86</v>
      </c>
      <c r="E4122" t="str">
        <f t="shared" si="546"/>
        <v>리세마라</v>
      </c>
      <c r="H4122" t="str">
        <f t="shared" si="544"/>
        <v>스토리위즈</v>
      </c>
      <c r="I4122" t="str">
        <f t="shared" si="547"/>
        <v>내 안에 흑염룡이 산다!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70</v>
      </c>
      <c r="AT4122" t="str">
        <f t="shared" si="548"/>
        <v>9791137601338</v>
      </c>
      <c r="AV4122" t="str">
        <f t="shared" si="549"/>
        <v>판타지 웹소설 &gt; 퓨전 판타지</v>
      </c>
    </row>
    <row r="4123" spans="1:48" x14ac:dyDescent="0.4">
      <c r="A4123">
        <v>2313016217</v>
      </c>
      <c r="B4123">
        <v>2313016303</v>
      </c>
      <c r="C4123" t="str">
        <f>T("내 안에 흑염룡이 산다! 87화")</f>
        <v>내 안에 흑염룡이 산다! 87화</v>
      </c>
      <c r="D4123" t="str">
        <f>T("87")</f>
        <v>87</v>
      </c>
      <c r="E4123" t="str">
        <f t="shared" si="546"/>
        <v>리세마라</v>
      </c>
      <c r="H4123" t="str">
        <f t="shared" si="544"/>
        <v>스토리위즈</v>
      </c>
      <c r="I4123" t="str">
        <f t="shared" si="547"/>
        <v>내 안에 흑염룡이 산다!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70</v>
      </c>
      <c r="AT4123" t="str">
        <f t="shared" si="548"/>
        <v>9791137601338</v>
      </c>
      <c r="AV4123" t="str">
        <f t="shared" si="549"/>
        <v>판타지 웹소설 &gt; 퓨전 판타지</v>
      </c>
    </row>
    <row r="4124" spans="1:48" x14ac:dyDescent="0.4">
      <c r="A4124">
        <v>2313016217</v>
      </c>
      <c r="B4124">
        <v>2313016304</v>
      </c>
      <c r="C4124" t="str">
        <f>T("내 안에 흑염룡이 산다! 88화")</f>
        <v>내 안에 흑염룡이 산다! 88화</v>
      </c>
      <c r="D4124" t="str">
        <f>T("88")</f>
        <v>88</v>
      </c>
      <c r="E4124" t="str">
        <f t="shared" si="546"/>
        <v>리세마라</v>
      </c>
      <c r="H4124" t="str">
        <f t="shared" si="544"/>
        <v>스토리위즈</v>
      </c>
      <c r="I4124" t="str">
        <f t="shared" si="547"/>
        <v>내 안에 흑염룡이 산다!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70</v>
      </c>
      <c r="AT4124" t="str">
        <f t="shared" si="548"/>
        <v>9791137601338</v>
      </c>
      <c r="AV4124" t="str">
        <f t="shared" si="549"/>
        <v>판타지 웹소설 &gt; 퓨전 판타지</v>
      </c>
    </row>
    <row r="4125" spans="1:48" x14ac:dyDescent="0.4">
      <c r="A4125">
        <v>2313016217</v>
      </c>
      <c r="B4125">
        <v>2313016305</v>
      </c>
      <c r="C4125" t="str">
        <f>T("내 안에 흑염룡이 산다! 89화")</f>
        <v>내 안에 흑염룡이 산다! 89화</v>
      </c>
      <c r="D4125" t="str">
        <f>T("89")</f>
        <v>89</v>
      </c>
      <c r="E4125" t="str">
        <f t="shared" si="546"/>
        <v>리세마라</v>
      </c>
      <c r="H4125" t="str">
        <f t="shared" si="544"/>
        <v>스토리위즈</v>
      </c>
      <c r="I4125" t="str">
        <f t="shared" si="547"/>
        <v>내 안에 흑염룡이 산다!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70</v>
      </c>
      <c r="AT4125" t="str">
        <f t="shared" si="548"/>
        <v>9791137601338</v>
      </c>
      <c r="AV4125" t="str">
        <f t="shared" si="549"/>
        <v>판타지 웹소설 &gt; 퓨전 판타지</v>
      </c>
    </row>
    <row r="4126" spans="1:48" x14ac:dyDescent="0.4">
      <c r="A4126">
        <v>2313016217</v>
      </c>
      <c r="B4126">
        <v>2313016306</v>
      </c>
      <c r="C4126" t="str">
        <f>T("내 안에 흑염룡이 산다! 90화")</f>
        <v>내 안에 흑염룡이 산다! 90화</v>
      </c>
      <c r="D4126" t="str">
        <f>T("90")</f>
        <v>90</v>
      </c>
      <c r="E4126" t="str">
        <f t="shared" si="546"/>
        <v>리세마라</v>
      </c>
      <c r="H4126" t="str">
        <f t="shared" si="544"/>
        <v>스토리위즈</v>
      </c>
      <c r="I4126" t="str">
        <f t="shared" si="547"/>
        <v>내 안에 흑염룡이 산다!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70</v>
      </c>
      <c r="AT4126" t="str">
        <f t="shared" si="548"/>
        <v>9791137601338</v>
      </c>
      <c r="AV4126" t="str">
        <f t="shared" si="549"/>
        <v>판타지 웹소설 &gt; 퓨전 판타지</v>
      </c>
    </row>
    <row r="4127" spans="1:48" x14ac:dyDescent="0.4">
      <c r="A4127">
        <v>2313016217</v>
      </c>
      <c r="B4127">
        <v>2313016307</v>
      </c>
      <c r="C4127" t="str">
        <f>T("내 안에 흑염룡이 산다! 91화")</f>
        <v>내 안에 흑염룡이 산다! 91화</v>
      </c>
      <c r="D4127" t="str">
        <f>T("91")</f>
        <v>91</v>
      </c>
      <c r="E4127" t="str">
        <f t="shared" si="546"/>
        <v>리세마라</v>
      </c>
      <c r="H4127" t="str">
        <f t="shared" si="544"/>
        <v>스토리위즈</v>
      </c>
      <c r="I4127" t="str">
        <f t="shared" si="547"/>
        <v>내 안에 흑염룡이 산다!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70</v>
      </c>
      <c r="AT4127" t="str">
        <f t="shared" si="548"/>
        <v>9791137601338</v>
      </c>
      <c r="AV4127" t="str">
        <f t="shared" si="549"/>
        <v>판타지 웹소설 &gt; 퓨전 판타지</v>
      </c>
    </row>
    <row r="4128" spans="1:48" x14ac:dyDescent="0.4">
      <c r="A4128">
        <v>2313016217</v>
      </c>
      <c r="B4128">
        <v>2313016308</v>
      </c>
      <c r="C4128" t="str">
        <f>T("내 안에 흑염룡이 산다! 92화")</f>
        <v>내 안에 흑염룡이 산다! 92화</v>
      </c>
      <c r="D4128" t="str">
        <f>T("92")</f>
        <v>92</v>
      </c>
      <c r="E4128" t="str">
        <f t="shared" si="546"/>
        <v>리세마라</v>
      </c>
      <c r="H4128" t="str">
        <f t="shared" si="544"/>
        <v>스토리위즈</v>
      </c>
      <c r="I4128" t="str">
        <f t="shared" si="547"/>
        <v>내 안에 흑염룡이 산다!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70</v>
      </c>
      <c r="AT4128" t="str">
        <f t="shared" si="548"/>
        <v>9791137601338</v>
      </c>
      <c r="AV4128" t="str">
        <f t="shared" si="549"/>
        <v>판타지 웹소설 &gt; 퓨전 판타지</v>
      </c>
    </row>
    <row r="4129" spans="1:48" x14ac:dyDescent="0.4">
      <c r="A4129">
        <v>2313016217</v>
      </c>
      <c r="B4129">
        <v>2313016309</v>
      </c>
      <c r="C4129" t="str">
        <f>T("내 안에 흑염룡이 산다! 93화")</f>
        <v>내 안에 흑염룡이 산다! 93화</v>
      </c>
      <c r="D4129" t="str">
        <f>T("93")</f>
        <v>93</v>
      </c>
      <c r="E4129" t="str">
        <f t="shared" si="546"/>
        <v>리세마라</v>
      </c>
      <c r="H4129" t="str">
        <f t="shared" si="544"/>
        <v>스토리위즈</v>
      </c>
      <c r="I4129" t="str">
        <f t="shared" si="547"/>
        <v>내 안에 흑염룡이 산다!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70</v>
      </c>
      <c r="AT4129" t="str">
        <f t="shared" si="548"/>
        <v>9791137601338</v>
      </c>
      <c r="AV4129" t="str">
        <f t="shared" si="549"/>
        <v>판타지 웹소설 &gt; 퓨전 판타지</v>
      </c>
    </row>
    <row r="4130" spans="1:48" x14ac:dyDescent="0.4">
      <c r="A4130">
        <v>2313016217</v>
      </c>
      <c r="B4130">
        <v>2313016310</v>
      </c>
      <c r="C4130" t="str">
        <f>T("내 안에 흑염룡이 산다! 94화")</f>
        <v>내 안에 흑염룡이 산다! 94화</v>
      </c>
      <c r="D4130" t="str">
        <f>T("94")</f>
        <v>94</v>
      </c>
      <c r="E4130" t="str">
        <f t="shared" si="546"/>
        <v>리세마라</v>
      </c>
      <c r="H4130" t="str">
        <f t="shared" si="544"/>
        <v>스토리위즈</v>
      </c>
      <c r="I4130" t="str">
        <f t="shared" si="547"/>
        <v>내 안에 흑염룡이 산다!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70</v>
      </c>
      <c r="AT4130" t="str">
        <f t="shared" si="548"/>
        <v>9791137601338</v>
      </c>
      <c r="AV4130" t="str">
        <f t="shared" si="549"/>
        <v>판타지 웹소설 &gt; 퓨전 판타지</v>
      </c>
    </row>
    <row r="4131" spans="1:48" x14ac:dyDescent="0.4">
      <c r="A4131">
        <v>2313016217</v>
      </c>
      <c r="B4131">
        <v>2313016311</v>
      </c>
      <c r="C4131" t="str">
        <f>T("내 안에 흑염룡이 산다! 95화")</f>
        <v>내 안에 흑염룡이 산다! 95화</v>
      </c>
      <c r="D4131" t="str">
        <f>T("95")</f>
        <v>95</v>
      </c>
      <c r="E4131" t="str">
        <f t="shared" si="546"/>
        <v>리세마라</v>
      </c>
      <c r="H4131" t="str">
        <f t="shared" si="544"/>
        <v>스토리위즈</v>
      </c>
      <c r="I4131" t="str">
        <f t="shared" si="547"/>
        <v>내 안에 흑염룡이 산다!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70</v>
      </c>
      <c r="AT4131" t="str">
        <f t="shared" si="548"/>
        <v>9791137601338</v>
      </c>
      <c r="AV4131" t="str">
        <f t="shared" si="549"/>
        <v>판타지 웹소설 &gt; 퓨전 판타지</v>
      </c>
    </row>
    <row r="4132" spans="1:48" x14ac:dyDescent="0.4">
      <c r="A4132">
        <v>2313016217</v>
      </c>
      <c r="B4132">
        <v>2313016312</v>
      </c>
      <c r="C4132" t="str">
        <f>T("내 안에 흑염룡이 산다! 96화")</f>
        <v>내 안에 흑염룡이 산다! 96화</v>
      </c>
      <c r="D4132" t="str">
        <f>T("96")</f>
        <v>96</v>
      </c>
      <c r="E4132" t="str">
        <f t="shared" si="546"/>
        <v>리세마라</v>
      </c>
      <c r="H4132" t="str">
        <f t="shared" si="544"/>
        <v>스토리위즈</v>
      </c>
      <c r="I4132" t="str">
        <f t="shared" si="547"/>
        <v>내 안에 흑염룡이 산다!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70</v>
      </c>
      <c r="AT4132" t="str">
        <f t="shared" si="548"/>
        <v>9791137601338</v>
      </c>
      <c r="AV4132" t="str">
        <f t="shared" si="549"/>
        <v>판타지 웹소설 &gt; 퓨전 판타지</v>
      </c>
    </row>
    <row r="4133" spans="1:48" x14ac:dyDescent="0.4">
      <c r="A4133">
        <v>2313016217</v>
      </c>
      <c r="B4133">
        <v>2313016313</v>
      </c>
      <c r="C4133" t="str">
        <f>T("내 안에 흑염룡이 산다! 97화")</f>
        <v>내 안에 흑염룡이 산다! 97화</v>
      </c>
      <c r="D4133" t="str">
        <f>T("97")</f>
        <v>97</v>
      </c>
      <c r="E4133" t="str">
        <f t="shared" si="546"/>
        <v>리세마라</v>
      </c>
      <c r="H4133" t="str">
        <f t="shared" si="544"/>
        <v>스토리위즈</v>
      </c>
      <c r="I4133" t="str">
        <f t="shared" si="547"/>
        <v>내 안에 흑염룡이 산다!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70</v>
      </c>
      <c r="AT4133" t="str">
        <f t="shared" si="548"/>
        <v>9791137601338</v>
      </c>
      <c r="AV4133" t="str">
        <f t="shared" si="549"/>
        <v>판타지 웹소설 &gt; 퓨전 판타지</v>
      </c>
    </row>
    <row r="4134" spans="1:48" x14ac:dyDescent="0.4">
      <c r="A4134">
        <v>2313016217</v>
      </c>
      <c r="B4134">
        <v>2313016314</v>
      </c>
      <c r="C4134" t="str">
        <f>T("내 안에 흑염룡이 산다! 98화")</f>
        <v>내 안에 흑염룡이 산다! 98화</v>
      </c>
      <c r="D4134" t="str">
        <f>T("98")</f>
        <v>98</v>
      </c>
      <c r="E4134" t="str">
        <f t="shared" si="546"/>
        <v>리세마라</v>
      </c>
      <c r="H4134" t="str">
        <f t="shared" si="544"/>
        <v>스토리위즈</v>
      </c>
      <c r="I4134" t="str">
        <f t="shared" si="547"/>
        <v>내 안에 흑염룡이 산다!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70</v>
      </c>
      <c r="AT4134" t="str">
        <f t="shared" si="548"/>
        <v>9791137601338</v>
      </c>
      <c r="AV4134" t="str">
        <f t="shared" si="549"/>
        <v>판타지 웹소설 &gt; 퓨전 판타지</v>
      </c>
    </row>
    <row r="4135" spans="1:48" x14ac:dyDescent="0.4">
      <c r="A4135">
        <v>2313016217</v>
      </c>
      <c r="B4135">
        <v>2313016315</v>
      </c>
      <c r="C4135" t="str">
        <f>T("내 안에 흑염룡이 산다! 99화")</f>
        <v>내 안에 흑염룡이 산다! 99화</v>
      </c>
      <c r="D4135" t="str">
        <f>T("99")</f>
        <v>99</v>
      </c>
      <c r="E4135" t="str">
        <f t="shared" si="546"/>
        <v>리세마라</v>
      </c>
      <c r="H4135" t="str">
        <f t="shared" si="544"/>
        <v>스토리위즈</v>
      </c>
      <c r="I4135" t="str">
        <f t="shared" si="547"/>
        <v>내 안에 흑염룡이 산다!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70</v>
      </c>
      <c r="AT4135" t="str">
        <f t="shared" si="548"/>
        <v>9791137601338</v>
      </c>
      <c r="AV4135" t="str">
        <f t="shared" si="549"/>
        <v>판타지 웹소설 &gt; 퓨전 판타지</v>
      </c>
    </row>
    <row r="4136" spans="1:48" x14ac:dyDescent="0.4">
      <c r="A4136">
        <v>2313016217</v>
      </c>
      <c r="B4136">
        <v>2313016316</v>
      </c>
      <c r="C4136" t="str">
        <f>T("내 안에 흑염룡이 산다! 100화")</f>
        <v>내 안에 흑염룡이 산다! 100화</v>
      </c>
      <c r="D4136" t="str">
        <f>T("100")</f>
        <v>100</v>
      </c>
      <c r="E4136" t="str">
        <f t="shared" si="546"/>
        <v>리세마라</v>
      </c>
      <c r="H4136" t="str">
        <f t="shared" si="544"/>
        <v>스토리위즈</v>
      </c>
      <c r="I4136" t="str">
        <f t="shared" si="547"/>
        <v>내 안에 흑염룡이 산다!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70</v>
      </c>
      <c r="AT4136" t="str">
        <f t="shared" si="548"/>
        <v>9791137601338</v>
      </c>
      <c r="AV4136" t="str">
        <f t="shared" si="549"/>
        <v>판타지 웹소설 &gt; 퓨전 판타지</v>
      </c>
    </row>
    <row r="4137" spans="1:48" x14ac:dyDescent="0.4">
      <c r="A4137">
        <v>2313016217</v>
      </c>
      <c r="B4137">
        <v>2313016317</v>
      </c>
      <c r="C4137" t="str">
        <f>T("내 안에 흑염룡이 산다! 101화")</f>
        <v>내 안에 흑염룡이 산다! 101화</v>
      </c>
      <c r="D4137" t="str">
        <f>T("101")</f>
        <v>101</v>
      </c>
      <c r="E4137" t="str">
        <f t="shared" si="546"/>
        <v>리세마라</v>
      </c>
      <c r="H4137" t="str">
        <f t="shared" si="544"/>
        <v>스토리위즈</v>
      </c>
      <c r="I4137" t="str">
        <f t="shared" si="547"/>
        <v>내 안에 흑염룡이 산다!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70</v>
      </c>
      <c r="AT4137" t="str">
        <f t="shared" si="548"/>
        <v>9791137601338</v>
      </c>
      <c r="AV4137" t="str">
        <f t="shared" si="549"/>
        <v>판타지 웹소설 &gt; 퓨전 판타지</v>
      </c>
    </row>
    <row r="4138" spans="1:48" x14ac:dyDescent="0.4">
      <c r="A4138">
        <v>2313016217</v>
      </c>
      <c r="B4138">
        <v>2313016318</v>
      </c>
      <c r="C4138" t="str">
        <f>T("내 안에 흑염룡이 산다! 102화")</f>
        <v>내 안에 흑염룡이 산다! 102화</v>
      </c>
      <c r="D4138" t="str">
        <f>T("102")</f>
        <v>102</v>
      </c>
      <c r="E4138" t="str">
        <f t="shared" si="546"/>
        <v>리세마라</v>
      </c>
      <c r="H4138" t="str">
        <f t="shared" si="544"/>
        <v>스토리위즈</v>
      </c>
      <c r="I4138" t="str">
        <f t="shared" si="547"/>
        <v>내 안에 흑염룡이 산다!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70</v>
      </c>
      <c r="AT4138" t="str">
        <f t="shared" si="548"/>
        <v>9791137601338</v>
      </c>
      <c r="AV4138" t="str">
        <f t="shared" si="549"/>
        <v>판타지 웹소설 &gt; 퓨전 판타지</v>
      </c>
    </row>
    <row r="4139" spans="1:48" x14ac:dyDescent="0.4">
      <c r="A4139">
        <v>2313016217</v>
      </c>
      <c r="B4139">
        <v>2313016319</v>
      </c>
      <c r="C4139" t="str">
        <f>T("내 안에 흑염룡이 산다! 103화")</f>
        <v>내 안에 흑염룡이 산다! 103화</v>
      </c>
      <c r="D4139" t="str">
        <f>T("103")</f>
        <v>103</v>
      </c>
      <c r="E4139" t="str">
        <f t="shared" si="546"/>
        <v>리세마라</v>
      </c>
      <c r="H4139" t="str">
        <f t="shared" si="544"/>
        <v>스토리위즈</v>
      </c>
      <c r="I4139" t="str">
        <f t="shared" si="547"/>
        <v>내 안에 흑염룡이 산다!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70</v>
      </c>
      <c r="AT4139" t="str">
        <f t="shared" si="548"/>
        <v>9791137601338</v>
      </c>
      <c r="AV4139" t="str">
        <f t="shared" si="549"/>
        <v>판타지 웹소설 &gt; 퓨전 판타지</v>
      </c>
    </row>
    <row r="4140" spans="1:48" x14ac:dyDescent="0.4">
      <c r="A4140">
        <v>2313016217</v>
      </c>
      <c r="B4140">
        <v>2313016320</v>
      </c>
      <c r="C4140" t="str">
        <f>T("내 안에 흑염룡이 산다! 104화")</f>
        <v>내 안에 흑염룡이 산다! 104화</v>
      </c>
      <c r="D4140" t="str">
        <f>T("104")</f>
        <v>104</v>
      </c>
      <c r="E4140" t="str">
        <f t="shared" si="546"/>
        <v>리세마라</v>
      </c>
      <c r="H4140" t="str">
        <f t="shared" si="544"/>
        <v>스토리위즈</v>
      </c>
      <c r="I4140" t="str">
        <f t="shared" si="547"/>
        <v>내 안에 흑염룡이 산다!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70</v>
      </c>
      <c r="AT4140" t="str">
        <f t="shared" si="548"/>
        <v>9791137601338</v>
      </c>
      <c r="AV4140" t="str">
        <f t="shared" si="549"/>
        <v>판타지 웹소설 &gt; 퓨전 판타지</v>
      </c>
    </row>
    <row r="4141" spans="1:48" x14ac:dyDescent="0.4">
      <c r="A4141">
        <v>2313016217</v>
      </c>
      <c r="B4141">
        <v>2313016321</v>
      </c>
      <c r="C4141" t="str">
        <f>T("내 안에 흑염룡이 산다! 105화")</f>
        <v>내 안에 흑염룡이 산다! 105화</v>
      </c>
      <c r="D4141" t="str">
        <f>T("105")</f>
        <v>105</v>
      </c>
      <c r="E4141" t="str">
        <f t="shared" si="546"/>
        <v>리세마라</v>
      </c>
      <c r="H4141" t="str">
        <f t="shared" si="544"/>
        <v>스토리위즈</v>
      </c>
      <c r="I4141" t="str">
        <f t="shared" si="547"/>
        <v>내 안에 흑염룡이 산다!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70</v>
      </c>
      <c r="AT4141" t="str">
        <f t="shared" si="548"/>
        <v>9791137601338</v>
      </c>
      <c r="AV4141" t="str">
        <f t="shared" si="549"/>
        <v>판타지 웹소설 &gt; 퓨전 판타지</v>
      </c>
    </row>
    <row r="4142" spans="1:48" x14ac:dyDescent="0.4">
      <c r="A4142">
        <v>2313016217</v>
      </c>
      <c r="B4142">
        <v>2313016322</v>
      </c>
      <c r="C4142" t="str">
        <f>T("내 안에 흑염룡이 산다! 106화")</f>
        <v>내 안에 흑염룡이 산다! 106화</v>
      </c>
      <c r="D4142" t="str">
        <f>T("106")</f>
        <v>106</v>
      </c>
      <c r="E4142" t="str">
        <f t="shared" si="546"/>
        <v>리세마라</v>
      </c>
      <c r="H4142" t="str">
        <f t="shared" si="544"/>
        <v>스토리위즈</v>
      </c>
      <c r="I4142" t="str">
        <f t="shared" si="547"/>
        <v>내 안에 흑염룡이 산다!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70</v>
      </c>
      <c r="AT4142" t="str">
        <f t="shared" si="548"/>
        <v>9791137601338</v>
      </c>
      <c r="AV4142" t="str">
        <f t="shared" si="549"/>
        <v>판타지 웹소설 &gt; 퓨전 판타지</v>
      </c>
    </row>
    <row r="4143" spans="1:48" x14ac:dyDescent="0.4">
      <c r="A4143">
        <v>2313016217</v>
      </c>
      <c r="B4143">
        <v>2313016323</v>
      </c>
      <c r="C4143" t="str">
        <f>T("내 안에 흑염룡이 산다! 107화")</f>
        <v>내 안에 흑염룡이 산다! 107화</v>
      </c>
      <c r="D4143" t="str">
        <f>T("107")</f>
        <v>107</v>
      </c>
      <c r="E4143" t="str">
        <f t="shared" si="546"/>
        <v>리세마라</v>
      </c>
      <c r="H4143" t="str">
        <f t="shared" si="544"/>
        <v>스토리위즈</v>
      </c>
      <c r="I4143" t="str">
        <f t="shared" si="547"/>
        <v>내 안에 흑염룡이 산다!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70</v>
      </c>
      <c r="AT4143" t="str">
        <f t="shared" si="548"/>
        <v>9791137601338</v>
      </c>
      <c r="AV4143" t="str">
        <f t="shared" si="549"/>
        <v>판타지 웹소설 &gt; 퓨전 판타지</v>
      </c>
    </row>
    <row r="4144" spans="1:48" x14ac:dyDescent="0.4">
      <c r="A4144">
        <v>2313016217</v>
      </c>
      <c r="B4144">
        <v>2313016324</v>
      </c>
      <c r="C4144" t="str">
        <f>T("내 안에 흑염룡이 산다! 108화")</f>
        <v>내 안에 흑염룡이 산다! 108화</v>
      </c>
      <c r="D4144" t="str">
        <f>T("108")</f>
        <v>108</v>
      </c>
      <c r="E4144" t="str">
        <f t="shared" si="546"/>
        <v>리세마라</v>
      </c>
      <c r="H4144" t="str">
        <f t="shared" si="544"/>
        <v>스토리위즈</v>
      </c>
      <c r="I4144" t="str">
        <f t="shared" si="547"/>
        <v>내 안에 흑염룡이 산다!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70</v>
      </c>
      <c r="AT4144" t="str">
        <f t="shared" si="548"/>
        <v>9791137601338</v>
      </c>
      <c r="AV4144" t="str">
        <f t="shared" si="549"/>
        <v>판타지 웹소설 &gt; 퓨전 판타지</v>
      </c>
    </row>
    <row r="4145" spans="1:48" x14ac:dyDescent="0.4">
      <c r="A4145">
        <v>2313016217</v>
      </c>
      <c r="B4145">
        <v>2313016325</v>
      </c>
      <c r="C4145" t="str">
        <f>T("내 안에 흑염룡이 산다! 109화")</f>
        <v>내 안에 흑염룡이 산다! 109화</v>
      </c>
      <c r="D4145" t="str">
        <f>T("109")</f>
        <v>109</v>
      </c>
      <c r="E4145" t="str">
        <f t="shared" si="546"/>
        <v>리세마라</v>
      </c>
      <c r="H4145" t="str">
        <f t="shared" si="544"/>
        <v>스토리위즈</v>
      </c>
      <c r="I4145" t="str">
        <f t="shared" si="547"/>
        <v>내 안에 흑염룡이 산다!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70</v>
      </c>
      <c r="AT4145" t="str">
        <f t="shared" si="548"/>
        <v>9791137601338</v>
      </c>
      <c r="AV4145" t="str">
        <f t="shared" si="549"/>
        <v>판타지 웹소설 &gt; 퓨전 판타지</v>
      </c>
    </row>
    <row r="4146" spans="1:48" x14ac:dyDescent="0.4">
      <c r="A4146">
        <v>2313016217</v>
      </c>
      <c r="B4146">
        <v>2313016326</v>
      </c>
      <c r="C4146" t="str">
        <f>T("내 안에 흑염룡이 산다! 110화")</f>
        <v>내 안에 흑염룡이 산다! 110화</v>
      </c>
      <c r="D4146" t="str">
        <f>T("110")</f>
        <v>110</v>
      </c>
      <c r="E4146" t="str">
        <f t="shared" si="546"/>
        <v>리세마라</v>
      </c>
      <c r="H4146" t="str">
        <f t="shared" si="544"/>
        <v>스토리위즈</v>
      </c>
      <c r="I4146" t="str">
        <f t="shared" si="547"/>
        <v>내 안에 흑염룡이 산다!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70</v>
      </c>
      <c r="AT4146" t="str">
        <f t="shared" si="548"/>
        <v>9791137601338</v>
      </c>
      <c r="AV4146" t="str">
        <f t="shared" si="549"/>
        <v>판타지 웹소설 &gt; 퓨전 판타지</v>
      </c>
    </row>
    <row r="4147" spans="1:48" x14ac:dyDescent="0.4">
      <c r="A4147">
        <v>2313016217</v>
      </c>
      <c r="B4147">
        <v>2313016327</v>
      </c>
      <c r="C4147" t="str">
        <f>T("내 안에 흑염룡이 산다! 111화")</f>
        <v>내 안에 흑염룡이 산다! 111화</v>
      </c>
      <c r="D4147" t="str">
        <f>T("111")</f>
        <v>111</v>
      </c>
      <c r="E4147" t="str">
        <f t="shared" si="546"/>
        <v>리세마라</v>
      </c>
      <c r="H4147" t="str">
        <f t="shared" si="544"/>
        <v>스토리위즈</v>
      </c>
      <c r="I4147" t="str">
        <f t="shared" si="547"/>
        <v>내 안에 흑염룡이 산다!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70</v>
      </c>
      <c r="AT4147" t="str">
        <f t="shared" si="548"/>
        <v>9791137601338</v>
      </c>
      <c r="AV4147" t="str">
        <f t="shared" si="549"/>
        <v>판타지 웹소설 &gt; 퓨전 판타지</v>
      </c>
    </row>
    <row r="4148" spans="1:48" x14ac:dyDescent="0.4">
      <c r="A4148">
        <v>2313016217</v>
      </c>
      <c r="B4148">
        <v>2313016328</v>
      </c>
      <c r="C4148" t="str">
        <f>T("내 안에 흑염룡이 산다! 112화")</f>
        <v>내 안에 흑염룡이 산다! 112화</v>
      </c>
      <c r="D4148" t="str">
        <f>T("112")</f>
        <v>112</v>
      </c>
      <c r="E4148" t="str">
        <f t="shared" si="546"/>
        <v>리세마라</v>
      </c>
      <c r="H4148" t="str">
        <f t="shared" si="544"/>
        <v>스토리위즈</v>
      </c>
      <c r="I4148" t="str">
        <f t="shared" si="547"/>
        <v>내 안에 흑염룡이 산다!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70</v>
      </c>
      <c r="AT4148" t="str">
        <f t="shared" si="548"/>
        <v>9791137601338</v>
      </c>
      <c r="AV4148" t="str">
        <f t="shared" si="549"/>
        <v>판타지 웹소설 &gt; 퓨전 판타지</v>
      </c>
    </row>
    <row r="4149" spans="1:48" x14ac:dyDescent="0.4">
      <c r="A4149">
        <v>2313016217</v>
      </c>
      <c r="B4149">
        <v>2313016329</v>
      </c>
      <c r="C4149" t="str">
        <f>T("내 안에 흑염룡이 산다! 113화")</f>
        <v>내 안에 흑염룡이 산다! 113화</v>
      </c>
      <c r="D4149" t="str">
        <f>T("113")</f>
        <v>113</v>
      </c>
      <c r="E4149" t="str">
        <f t="shared" si="546"/>
        <v>리세마라</v>
      </c>
      <c r="H4149" t="str">
        <f t="shared" si="544"/>
        <v>스토리위즈</v>
      </c>
      <c r="I4149" t="str">
        <f t="shared" si="547"/>
        <v>내 안에 흑염룡이 산다!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70</v>
      </c>
      <c r="AT4149" t="str">
        <f t="shared" si="548"/>
        <v>9791137601338</v>
      </c>
      <c r="AV4149" t="str">
        <f t="shared" si="549"/>
        <v>판타지 웹소설 &gt; 퓨전 판타지</v>
      </c>
    </row>
    <row r="4150" spans="1:48" x14ac:dyDescent="0.4">
      <c r="A4150">
        <v>2313016217</v>
      </c>
      <c r="B4150">
        <v>2313016330</v>
      </c>
      <c r="C4150" t="str">
        <f>T("내 안에 흑염룡이 산다! 114화")</f>
        <v>내 안에 흑염룡이 산다! 114화</v>
      </c>
      <c r="D4150" t="str">
        <f>T("114")</f>
        <v>114</v>
      </c>
      <c r="E4150" t="str">
        <f t="shared" si="546"/>
        <v>리세마라</v>
      </c>
      <c r="H4150" t="str">
        <f t="shared" si="544"/>
        <v>스토리위즈</v>
      </c>
      <c r="I4150" t="str">
        <f t="shared" si="547"/>
        <v>내 안에 흑염룡이 산다!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70</v>
      </c>
      <c r="AT4150" t="str">
        <f t="shared" si="548"/>
        <v>9791137601338</v>
      </c>
      <c r="AV4150" t="str">
        <f t="shared" si="549"/>
        <v>판타지 웹소설 &gt; 퓨전 판타지</v>
      </c>
    </row>
    <row r="4151" spans="1:48" x14ac:dyDescent="0.4">
      <c r="A4151">
        <v>2313016217</v>
      </c>
      <c r="B4151">
        <v>2313016331</v>
      </c>
      <c r="C4151" t="str">
        <f>T("내 안에 흑염룡이 산다! 115화")</f>
        <v>내 안에 흑염룡이 산다! 115화</v>
      </c>
      <c r="D4151" t="str">
        <f>T("115")</f>
        <v>115</v>
      </c>
      <c r="E4151" t="str">
        <f t="shared" si="546"/>
        <v>리세마라</v>
      </c>
      <c r="H4151" t="str">
        <f t="shared" si="544"/>
        <v>스토리위즈</v>
      </c>
      <c r="I4151" t="str">
        <f t="shared" si="547"/>
        <v>내 안에 흑염룡이 산다!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70</v>
      </c>
      <c r="AT4151" t="str">
        <f t="shared" si="548"/>
        <v>9791137601338</v>
      </c>
      <c r="AV4151" t="str">
        <f t="shared" si="549"/>
        <v>판타지 웹소설 &gt; 퓨전 판타지</v>
      </c>
    </row>
    <row r="4152" spans="1:48" x14ac:dyDescent="0.4">
      <c r="A4152">
        <v>2313016217</v>
      </c>
      <c r="B4152">
        <v>2313016332</v>
      </c>
      <c r="C4152" t="str">
        <f>T("내 안에 흑염룡이 산다! 116화")</f>
        <v>내 안에 흑염룡이 산다! 116화</v>
      </c>
      <c r="D4152" t="str">
        <f>T("116")</f>
        <v>116</v>
      </c>
      <c r="E4152" t="str">
        <f t="shared" si="546"/>
        <v>리세마라</v>
      </c>
      <c r="H4152" t="str">
        <f t="shared" si="544"/>
        <v>스토리위즈</v>
      </c>
      <c r="I4152" t="str">
        <f t="shared" si="547"/>
        <v>내 안에 흑염룡이 산다!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70</v>
      </c>
      <c r="AT4152" t="str">
        <f t="shared" si="548"/>
        <v>9791137601338</v>
      </c>
      <c r="AV4152" t="str">
        <f t="shared" si="549"/>
        <v>판타지 웹소설 &gt; 퓨전 판타지</v>
      </c>
    </row>
    <row r="4153" spans="1:48" x14ac:dyDescent="0.4">
      <c r="A4153">
        <v>2313016217</v>
      </c>
      <c r="B4153">
        <v>2313016333</v>
      </c>
      <c r="C4153" t="str">
        <f>T("내 안에 흑염룡이 산다! 117화")</f>
        <v>내 안에 흑염룡이 산다! 117화</v>
      </c>
      <c r="D4153" t="str">
        <f>T("117")</f>
        <v>117</v>
      </c>
      <c r="E4153" t="str">
        <f t="shared" si="546"/>
        <v>리세마라</v>
      </c>
      <c r="H4153" t="str">
        <f t="shared" ref="H4153:H4216" si="550">T("스토리위즈")</f>
        <v>스토리위즈</v>
      </c>
      <c r="I4153" t="str">
        <f t="shared" si="547"/>
        <v>내 안에 흑염룡이 산다!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70</v>
      </c>
      <c r="AT4153" t="str">
        <f t="shared" si="548"/>
        <v>9791137601338</v>
      </c>
      <c r="AV4153" t="str">
        <f t="shared" si="549"/>
        <v>판타지 웹소설 &gt; 퓨전 판타지</v>
      </c>
    </row>
    <row r="4154" spans="1:48" x14ac:dyDescent="0.4">
      <c r="A4154">
        <v>2313016217</v>
      </c>
      <c r="B4154">
        <v>2313016334</v>
      </c>
      <c r="C4154" t="str">
        <f>T("내 안에 흑염룡이 산다! 118화")</f>
        <v>내 안에 흑염룡이 산다! 118화</v>
      </c>
      <c r="D4154" t="str">
        <f>T("118")</f>
        <v>118</v>
      </c>
      <c r="E4154" t="str">
        <f t="shared" si="546"/>
        <v>리세마라</v>
      </c>
      <c r="H4154" t="str">
        <f t="shared" si="550"/>
        <v>스토리위즈</v>
      </c>
      <c r="I4154" t="str">
        <f t="shared" si="547"/>
        <v>내 안에 흑염룡이 산다!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70</v>
      </c>
      <c r="AT4154" t="str">
        <f t="shared" si="548"/>
        <v>9791137601338</v>
      </c>
      <c r="AV4154" t="str">
        <f t="shared" si="549"/>
        <v>판타지 웹소설 &gt; 퓨전 판타지</v>
      </c>
    </row>
    <row r="4155" spans="1:48" x14ac:dyDescent="0.4">
      <c r="A4155">
        <v>2313016217</v>
      </c>
      <c r="B4155">
        <v>2313016335</v>
      </c>
      <c r="C4155" t="str">
        <f>T("내 안에 흑염룡이 산다! 119화")</f>
        <v>내 안에 흑염룡이 산다! 119화</v>
      </c>
      <c r="D4155" t="str">
        <f>T("119")</f>
        <v>119</v>
      </c>
      <c r="E4155" t="str">
        <f t="shared" si="546"/>
        <v>리세마라</v>
      </c>
      <c r="H4155" t="str">
        <f t="shared" si="550"/>
        <v>스토리위즈</v>
      </c>
      <c r="I4155" t="str">
        <f t="shared" si="547"/>
        <v>내 안에 흑염룡이 산다!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70</v>
      </c>
      <c r="AT4155" t="str">
        <f t="shared" si="548"/>
        <v>9791137601338</v>
      </c>
      <c r="AV4155" t="str">
        <f t="shared" si="549"/>
        <v>판타지 웹소설 &gt; 퓨전 판타지</v>
      </c>
    </row>
    <row r="4156" spans="1:48" x14ac:dyDescent="0.4">
      <c r="A4156">
        <v>2313016217</v>
      </c>
      <c r="B4156">
        <v>2313016336</v>
      </c>
      <c r="C4156" t="str">
        <f>T("내 안에 흑염룡이 산다! 120화")</f>
        <v>내 안에 흑염룡이 산다! 120화</v>
      </c>
      <c r="D4156" t="str">
        <f>T("120")</f>
        <v>120</v>
      </c>
      <c r="E4156" t="str">
        <f t="shared" si="546"/>
        <v>리세마라</v>
      </c>
      <c r="H4156" t="str">
        <f t="shared" si="550"/>
        <v>스토리위즈</v>
      </c>
      <c r="I4156" t="str">
        <f t="shared" si="547"/>
        <v>내 안에 흑염룡이 산다!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70</v>
      </c>
      <c r="AT4156" t="str">
        <f t="shared" si="548"/>
        <v>9791137601338</v>
      </c>
      <c r="AV4156" t="str">
        <f t="shared" si="549"/>
        <v>판타지 웹소설 &gt; 퓨전 판타지</v>
      </c>
    </row>
    <row r="4157" spans="1:48" x14ac:dyDescent="0.4">
      <c r="A4157">
        <v>2313016217</v>
      </c>
      <c r="B4157">
        <v>2313016337</v>
      </c>
      <c r="C4157" t="str">
        <f>T("내 안에 흑염룡이 산다! 121화")</f>
        <v>내 안에 흑염룡이 산다! 121화</v>
      </c>
      <c r="D4157" t="str">
        <f>T("121")</f>
        <v>121</v>
      </c>
      <c r="E4157" t="str">
        <f t="shared" si="546"/>
        <v>리세마라</v>
      </c>
      <c r="H4157" t="str">
        <f t="shared" si="550"/>
        <v>스토리위즈</v>
      </c>
      <c r="I4157" t="str">
        <f t="shared" si="547"/>
        <v>내 안에 흑염룡이 산다!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70</v>
      </c>
      <c r="AT4157" t="str">
        <f t="shared" si="548"/>
        <v>9791137601338</v>
      </c>
      <c r="AV4157" t="str">
        <f t="shared" si="549"/>
        <v>판타지 웹소설 &gt; 퓨전 판타지</v>
      </c>
    </row>
    <row r="4158" spans="1:48" x14ac:dyDescent="0.4">
      <c r="A4158">
        <v>2313016217</v>
      </c>
      <c r="B4158">
        <v>2313016338</v>
      </c>
      <c r="C4158" t="str">
        <f>T("내 안에 흑염룡이 산다! 122화")</f>
        <v>내 안에 흑염룡이 산다! 122화</v>
      </c>
      <c r="D4158" t="str">
        <f>T("122")</f>
        <v>122</v>
      </c>
      <c r="E4158" t="str">
        <f t="shared" si="546"/>
        <v>리세마라</v>
      </c>
      <c r="H4158" t="str">
        <f t="shared" si="550"/>
        <v>스토리위즈</v>
      </c>
      <c r="I4158" t="str">
        <f t="shared" si="547"/>
        <v>내 안에 흑염룡이 산다!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70</v>
      </c>
      <c r="AT4158" t="str">
        <f t="shared" si="548"/>
        <v>9791137601338</v>
      </c>
      <c r="AV4158" t="str">
        <f t="shared" si="549"/>
        <v>판타지 웹소설 &gt; 퓨전 판타지</v>
      </c>
    </row>
    <row r="4159" spans="1:48" x14ac:dyDescent="0.4">
      <c r="A4159">
        <v>2313016217</v>
      </c>
      <c r="B4159">
        <v>2313016339</v>
      </c>
      <c r="C4159" t="str">
        <f>T("내 안에 흑염룡이 산다! 123화")</f>
        <v>내 안에 흑염룡이 산다! 123화</v>
      </c>
      <c r="D4159" t="str">
        <f>T("123")</f>
        <v>123</v>
      </c>
      <c r="E4159" t="str">
        <f t="shared" si="546"/>
        <v>리세마라</v>
      </c>
      <c r="H4159" t="str">
        <f t="shared" si="550"/>
        <v>스토리위즈</v>
      </c>
      <c r="I4159" t="str">
        <f t="shared" si="547"/>
        <v>내 안에 흑염룡이 산다!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70</v>
      </c>
      <c r="AT4159" t="str">
        <f t="shared" si="548"/>
        <v>9791137601338</v>
      </c>
      <c r="AV4159" t="str">
        <f t="shared" si="549"/>
        <v>판타지 웹소설 &gt; 퓨전 판타지</v>
      </c>
    </row>
    <row r="4160" spans="1:48" x14ac:dyDescent="0.4">
      <c r="A4160">
        <v>2313016217</v>
      </c>
      <c r="B4160">
        <v>2313016340</v>
      </c>
      <c r="C4160" t="str">
        <f>T("내 안에 흑염룡이 산다! 124화")</f>
        <v>내 안에 흑염룡이 산다! 124화</v>
      </c>
      <c r="D4160" t="str">
        <f>T("124")</f>
        <v>124</v>
      </c>
      <c r="E4160" t="str">
        <f t="shared" si="546"/>
        <v>리세마라</v>
      </c>
      <c r="H4160" t="str">
        <f t="shared" si="550"/>
        <v>스토리위즈</v>
      </c>
      <c r="I4160" t="str">
        <f t="shared" si="547"/>
        <v>내 안에 흑염룡이 산다!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70</v>
      </c>
      <c r="AT4160" t="str">
        <f t="shared" si="548"/>
        <v>9791137601338</v>
      </c>
      <c r="AV4160" t="str">
        <f t="shared" si="549"/>
        <v>판타지 웹소설 &gt; 퓨전 판타지</v>
      </c>
    </row>
    <row r="4161" spans="1:48" x14ac:dyDescent="0.4">
      <c r="A4161">
        <v>2313016217</v>
      </c>
      <c r="B4161">
        <v>2313016341</v>
      </c>
      <c r="C4161" t="str">
        <f>T("내 안에 흑염룡이 산다! 125화")</f>
        <v>내 안에 흑염룡이 산다! 125화</v>
      </c>
      <c r="D4161" t="str">
        <f>T("125")</f>
        <v>125</v>
      </c>
      <c r="E4161" t="str">
        <f t="shared" si="546"/>
        <v>리세마라</v>
      </c>
      <c r="H4161" t="str">
        <f t="shared" si="550"/>
        <v>스토리위즈</v>
      </c>
      <c r="I4161" t="str">
        <f t="shared" si="547"/>
        <v>내 안에 흑염룡이 산다!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70</v>
      </c>
      <c r="AT4161" t="str">
        <f t="shared" si="548"/>
        <v>9791137601338</v>
      </c>
      <c r="AV4161" t="str">
        <f t="shared" si="549"/>
        <v>판타지 웹소설 &gt; 퓨전 판타지</v>
      </c>
    </row>
    <row r="4162" spans="1:48" x14ac:dyDescent="0.4">
      <c r="A4162">
        <v>2313016217</v>
      </c>
      <c r="B4162">
        <v>2313016342</v>
      </c>
      <c r="C4162" t="str">
        <f>T("내 안에 흑염룡이 산다! 126화")</f>
        <v>내 안에 흑염룡이 산다! 126화</v>
      </c>
      <c r="D4162" t="str">
        <f>T("126")</f>
        <v>126</v>
      </c>
      <c r="E4162" t="str">
        <f t="shared" si="546"/>
        <v>리세마라</v>
      </c>
      <c r="H4162" t="str">
        <f t="shared" si="550"/>
        <v>스토리위즈</v>
      </c>
      <c r="I4162" t="str">
        <f t="shared" si="547"/>
        <v>내 안에 흑염룡이 산다!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70</v>
      </c>
      <c r="AT4162" t="str">
        <f t="shared" si="548"/>
        <v>9791137601338</v>
      </c>
      <c r="AV4162" t="str">
        <f t="shared" si="549"/>
        <v>판타지 웹소설 &gt; 퓨전 판타지</v>
      </c>
    </row>
    <row r="4163" spans="1:48" x14ac:dyDescent="0.4">
      <c r="A4163">
        <v>2313016217</v>
      </c>
      <c r="B4163">
        <v>2313016343</v>
      </c>
      <c r="C4163" t="str">
        <f>T("내 안에 흑염룡이 산다! 127화")</f>
        <v>내 안에 흑염룡이 산다! 127화</v>
      </c>
      <c r="D4163" t="str">
        <f>T("127")</f>
        <v>127</v>
      </c>
      <c r="E4163" t="str">
        <f t="shared" si="546"/>
        <v>리세마라</v>
      </c>
      <c r="H4163" t="str">
        <f t="shared" si="550"/>
        <v>스토리위즈</v>
      </c>
      <c r="I4163" t="str">
        <f t="shared" si="547"/>
        <v>내 안에 흑염룡이 산다!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70</v>
      </c>
      <c r="AT4163" t="str">
        <f t="shared" si="548"/>
        <v>9791137601338</v>
      </c>
      <c r="AV4163" t="str">
        <f t="shared" si="549"/>
        <v>판타지 웹소설 &gt; 퓨전 판타지</v>
      </c>
    </row>
    <row r="4164" spans="1:48" x14ac:dyDescent="0.4">
      <c r="A4164">
        <v>2313016217</v>
      </c>
      <c r="B4164">
        <v>2313016344</v>
      </c>
      <c r="C4164" t="str">
        <f>T("내 안에 흑염룡이 산다! 128화")</f>
        <v>내 안에 흑염룡이 산다! 128화</v>
      </c>
      <c r="D4164" t="str">
        <f>T("128")</f>
        <v>128</v>
      </c>
      <c r="E4164" t="str">
        <f t="shared" si="546"/>
        <v>리세마라</v>
      </c>
      <c r="H4164" t="str">
        <f t="shared" si="550"/>
        <v>스토리위즈</v>
      </c>
      <c r="I4164" t="str">
        <f t="shared" si="547"/>
        <v>내 안에 흑염룡이 산다!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70</v>
      </c>
      <c r="AT4164" t="str">
        <f t="shared" si="548"/>
        <v>9791137601338</v>
      </c>
      <c r="AV4164" t="str">
        <f t="shared" si="549"/>
        <v>판타지 웹소설 &gt; 퓨전 판타지</v>
      </c>
    </row>
    <row r="4165" spans="1:48" x14ac:dyDescent="0.4">
      <c r="A4165">
        <v>2313016217</v>
      </c>
      <c r="B4165">
        <v>2313016345</v>
      </c>
      <c r="C4165" t="str">
        <f>T("내 안에 흑염룡이 산다! 129화")</f>
        <v>내 안에 흑염룡이 산다! 129화</v>
      </c>
      <c r="D4165" t="str">
        <f>T("129")</f>
        <v>129</v>
      </c>
      <c r="E4165" t="str">
        <f t="shared" si="546"/>
        <v>리세마라</v>
      </c>
      <c r="H4165" t="str">
        <f t="shared" si="550"/>
        <v>스토리위즈</v>
      </c>
      <c r="I4165" t="str">
        <f t="shared" si="547"/>
        <v>내 안에 흑염룡이 산다!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70</v>
      </c>
      <c r="AT4165" t="str">
        <f t="shared" si="548"/>
        <v>9791137601338</v>
      </c>
      <c r="AV4165" t="str">
        <f t="shared" si="549"/>
        <v>판타지 웹소설 &gt; 퓨전 판타지</v>
      </c>
    </row>
    <row r="4166" spans="1:48" x14ac:dyDescent="0.4">
      <c r="A4166">
        <v>2313016217</v>
      </c>
      <c r="B4166">
        <v>2313016346</v>
      </c>
      <c r="C4166" t="str">
        <f>T("내 안에 흑염룡이 산다! 130화")</f>
        <v>내 안에 흑염룡이 산다! 130화</v>
      </c>
      <c r="D4166" t="str">
        <f>T("130")</f>
        <v>130</v>
      </c>
      <c r="E4166" t="str">
        <f t="shared" si="546"/>
        <v>리세마라</v>
      </c>
      <c r="H4166" t="str">
        <f t="shared" si="550"/>
        <v>스토리위즈</v>
      </c>
      <c r="I4166" t="str">
        <f t="shared" si="547"/>
        <v>내 안에 흑염룡이 산다!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70</v>
      </c>
      <c r="AT4166" t="str">
        <f t="shared" si="548"/>
        <v>9791137601338</v>
      </c>
      <c r="AV4166" t="str">
        <f t="shared" si="549"/>
        <v>판타지 웹소설 &gt; 퓨전 판타지</v>
      </c>
    </row>
    <row r="4167" spans="1:48" x14ac:dyDescent="0.4">
      <c r="A4167">
        <v>2313016217</v>
      </c>
      <c r="B4167">
        <v>2313016347</v>
      </c>
      <c r="C4167" t="str">
        <f>T("내 안에 흑염룡이 산다! 131화")</f>
        <v>내 안에 흑염룡이 산다! 131화</v>
      </c>
      <c r="D4167" t="str">
        <f>T("131")</f>
        <v>131</v>
      </c>
      <c r="E4167" t="str">
        <f t="shared" si="546"/>
        <v>리세마라</v>
      </c>
      <c r="H4167" t="str">
        <f t="shared" si="550"/>
        <v>스토리위즈</v>
      </c>
      <c r="I4167" t="str">
        <f t="shared" si="547"/>
        <v>내 안에 흑염룡이 산다!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70</v>
      </c>
      <c r="AT4167" t="str">
        <f t="shared" si="548"/>
        <v>9791137601338</v>
      </c>
      <c r="AV4167" t="str">
        <f t="shared" si="549"/>
        <v>판타지 웹소설 &gt; 퓨전 판타지</v>
      </c>
    </row>
    <row r="4168" spans="1:48" x14ac:dyDescent="0.4">
      <c r="A4168">
        <v>2313016217</v>
      </c>
      <c r="B4168">
        <v>2313016348</v>
      </c>
      <c r="C4168" t="str">
        <f>T("내 안에 흑염룡이 산다! 132화")</f>
        <v>내 안에 흑염룡이 산다! 132화</v>
      </c>
      <c r="D4168" t="str">
        <f>T("132")</f>
        <v>132</v>
      </c>
      <c r="E4168" t="str">
        <f t="shared" si="546"/>
        <v>리세마라</v>
      </c>
      <c r="H4168" t="str">
        <f t="shared" si="550"/>
        <v>스토리위즈</v>
      </c>
      <c r="I4168" t="str">
        <f t="shared" si="547"/>
        <v>내 안에 흑염룡이 산다!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70</v>
      </c>
      <c r="AT4168" t="str">
        <f t="shared" si="548"/>
        <v>9791137601338</v>
      </c>
      <c r="AV4168" t="str">
        <f t="shared" si="549"/>
        <v>판타지 웹소설 &gt; 퓨전 판타지</v>
      </c>
    </row>
    <row r="4169" spans="1:48" x14ac:dyDescent="0.4">
      <c r="A4169">
        <v>2313016217</v>
      </c>
      <c r="B4169">
        <v>2313016349</v>
      </c>
      <c r="C4169" t="str">
        <f>T("내 안에 흑염룡이 산다! 133화")</f>
        <v>내 안에 흑염룡이 산다! 133화</v>
      </c>
      <c r="D4169" t="str">
        <f>T("133")</f>
        <v>133</v>
      </c>
      <c r="E4169" t="str">
        <f t="shared" si="546"/>
        <v>리세마라</v>
      </c>
      <c r="H4169" t="str">
        <f t="shared" si="550"/>
        <v>스토리위즈</v>
      </c>
      <c r="I4169" t="str">
        <f t="shared" si="547"/>
        <v>내 안에 흑염룡이 산다!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70</v>
      </c>
      <c r="AT4169" t="str">
        <f t="shared" si="548"/>
        <v>9791137601338</v>
      </c>
      <c r="AV4169" t="str">
        <f t="shared" si="549"/>
        <v>판타지 웹소설 &gt; 퓨전 판타지</v>
      </c>
    </row>
    <row r="4170" spans="1:48" x14ac:dyDescent="0.4">
      <c r="A4170">
        <v>2313016217</v>
      </c>
      <c r="B4170">
        <v>2313016350</v>
      </c>
      <c r="C4170" t="str">
        <f>T("내 안에 흑염룡이 산다! 134화")</f>
        <v>내 안에 흑염룡이 산다! 134화</v>
      </c>
      <c r="D4170" t="str">
        <f>T("134")</f>
        <v>134</v>
      </c>
      <c r="E4170" t="str">
        <f t="shared" si="546"/>
        <v>리세마라</v>
      </c>
      <c r="H4170" t="str">
        <f t="shared" si="550"/>
        <v>스토리위즈</v>
      </c>
      <c r="I4170" t="str">
        <f t="shared" si="547"/>
        <v>내 안에 흑염룡이 산다!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70</v>
      </c>
      <c r="AT4170" t="str">
        <f t="shared" si="548"/>
        <v>9791137601338</v>
      </c>
      <c r="AV4170" t="str">
        <f t="shared" si="549"/>
        <v>판타지 웹소설 &gt; 퓨전 판타지</v>
      </c>
    </row>
    <row r="4171" spans="1:48" x14ac:dyDescent="0.4">
      <c r="A4171">
        <v>2313016217</v>
      </c>
      <c r="B4171">
        <v>2313016351</v>
      </c>
      <c r="C4171" t="str">
        <f>T("내 안에 흑염룡이 산다! 135화")</f>
        <v>내 안에 흑염룡이 산다! 135화</v>
      </c>
      <c r="D4171" t="str">
        <f>T("135")</f>
        <v>135</v>
      </c>
      <c r="E4171" t="str">
        <f t="shared" si="546"/>
        <v>리세마라</v>
      </c>
      <c r="H4171" t="str">
        <f t="shared" si="550"/>
        <v>스토리위즈</v>
      </c>
      <c r="I4171" t="str">
        <f t="shared" si="547"/>
        <v>내 안에 흑염룡이 산다!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70</v>
      </c>
      <c r="AT4171" t="str">
        <f t="shared" si="548"/>
        <v>9791137601338</v>
      </c>
      <c r="AV4171" t="str">
        <f t="shared" si="549"/>
        <v>판타지 웹소설 &gt; 퓨전 판타지</v>
      </c>
    </row>
    <row r="4172" spans="1:48" x14ac:dyDescent="0.4">
      <c r="A4172">
        <v>2313016217</v>
      </c>
      <c r="B4172">
        <v>2313016352</v>
      </c>
      <c r="C4172" t="str">
        <f>T("내 안에 흑염룡이 산다! 136화")</f>
        <v>내 안에 흑염룡이 산다! 136화</v>
      </c>
      <c r="D4172" t="str">
        <f>T("136")</f>
        <v>136</v>
      </c>
      <c r="E4172" t="str">
        <f t="shared" si="546"/>
        <v>리세마라</v>
      </c>
      <c r="H4172" t="str">
        <f t="shared" si="550"/>
        <v>스토리위즈</v>
      </c>
      <c r="I4172" t="str">
        <f t="shared" si="547"/>
        <v>내 안에 흑염룡이 산다!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70</v>
      </c>
      <c r="AT4172" t="str">
        <f t="shared" si="548"/>
        <v>9791137601338</v>
      </c>
      <c r="AV4172" t="str">
        <f t="shared" si="549"/>
        <v>판타지 웹소설 &gt; 퓨전 판타지</v>
      </c>
    </row>
    <row r="4173" spans="1:48" x14ac:dyDescent="0.4">
      <c r="A4173">
        <v>2313016217</v>
      </c>
      <c r="B4173">
        <v>2313016353</v>
      </c>
      <c r="C4173" t="str">
        <f>T("내 안에 흑염룡이 산다! 137화")</f>
        <v>내 안에 흑염룡이 산다! 137화</v>
      </c>
      <c r="D4173" t="str">
        <f>T("137")</f>
        <v>137</v>
      </c>
      <c r="E4173" t="str">
        <f t="shared" si="546"/>
        <v>리세마라</v>
      </c>
      <c r="H4173" t="str">
        <f t="shared" si="550"/>
        <v>스토리위즈</v>
      </c>
      <c r="I4173" t="str">
        <f t="shared" si="547"/>
        <v>내 안에 흑염룡이 산다!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70</v>
      </c>
      <c r="AT4173" t="str">
        <f t="shared" si="548"/>
        <v>9791137601338</v>
      </c>
      <c r="AV4173" t="str">
        <f t="shared" si="549"/>
        <v>판타지 웹소설 &gt; 퓨전 판타지</v>
      </c>
    </row>
    <row r="4174" spans="1:48" x14ac:dyDescent="0.4">
      <c r="A4174">
        <v>2313016217</v>
      </c>
      <c r="B4174">
        <v>2313016354</v>
      </c>
      <c r="C4174" t="str">
        <f>T("내 안에 흑염룡이 산다! 138화")</f>
        <v>내 안에 흑염룡이 산다! 138화</v>
      </c>
      <c r="D4174" t="str">
        <f>T("138")</f>
        <v>138</v>
      </c>
      <c r="E4174" t="str">
        <f t="shared" si="546"/>
        <v>리세마라</v>
      </c>
      <c r="H4174" t="str">
        <f t="shared" si="550"/>
        <v>스토리위즈</v>
      </c>
      <c r="I4174" t="str">
        <f t="shared" si="547"/>
        <v>내 안에 흑염룡이 산다!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70</v>
      </c>
      <c r="AT4174" t="str">
        <f t="shared" si="548"/>
        <v>9791137601338</v>
      </c>
      <c r="AV4174" t="str">
        <f t="shared" si="549"/>
        <v>판타지 웹소설 &gt; 퓨전 판타지</v>
      </c>
    </row>
    <row r="4175" spans="1:48" x14ac:dyDescent="0.4">
      <c r="A4175">
        <v>2313016217</v>
      </c>
      <c r="B4175">
        <v>2313016355</v>
      </c>
      <c r="C4175" t="str">
        <f>T("내 안에 흑염룡이 산다! 139화")</f>
        <v>내 안에 흑염룡이 산다! 139화</v>
      </c>
      <c r="D4175" t="str">
        <f>T("139")</f>
        <v>139</v>
      </c>
      <c r="E4175" t="str">
        <f t="shared" si="546"/>
        <v>리세마라</v>
      </c>
      <c r="H4175" t="str">
        <f t="shared" si="550"/>
        <v>스토리위즈</v>
      </c>
      <c r="I4175" t="str">
        <f t="shared" si="547"/>
        <v>내 안에 흑염룡이 산다!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70</v>
      </c>
      <c r="AT4175" t="str">
        <f t="shared" si="548"/>
        <v>9791137601338</v>
      </c>
      <c r="AV4175" t="str">
        <f t="shared" si="549"/>
        <v>판타지 웹소설 &gt; 퓨전 판타지</v>
      </c>
    </row>
    <row r="4176" spans="1:48" x14ac:dyDescent="0.4">
      <c r="A4176">
        <v>2313016217</v>
      </c>
      <c r="B4176">
        <v>2313016356</v>
      </c>
      <c r="C4176" t="str">
        <f>T("내 안에 흑염룡이 산다! 140화")</f>
        <v>내 안에 흑염룡이 산다! 140화</v>
      </c>
      <c r="D4176" t="str">
        <f>T("140")</f>
        <v>140</v>
      </c>
      <c r="E4176" t="str">
        <f t="shared" si="546"/>
        <v>리세마라</v>
      </c>
      <c r="H4176" t="str">
        <f t="shared" si="550"/>
        <v>스토리위즈</v>
      </c>
      <c r="I4176" t="str">
        <f t="shared" si="547"/>
        <v>내 안에 흑염룡이 산다!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70</v>
      </c>
      <c r="AT4176" t="str">
        <f t="shared" si="548"/>
        <v>9791137601338</v>
      </c>
      <c r="AV4176" t="str">
        <f t="shared" si="549"/>
        <v>판타지 웹소설 &gt; 퓨전 판타지</v>
      </c>
    </row>
    <row r="4177" spans="1:48" x14ac:dyDescent="0.4">
      <c r="A4177">
        <v>2313016217</v>
      </c>
      <c r="B4177">
        <v>2313016357</v>
      </c>
      <c r="C4177" t="str">
        <f>T("내 안에 흑염룡이 산다! 141화")</f>
        <v>내 안에 흑염룡이 산다! 141화</v>
      </c>
      <c r="D4177" t="str">
        <f>T("141")</f>
        <v>141</v>
      </c>
      <c r="E4177" t="str">
        <f t="shared" ref="E4177:E4216" si="551">T("리세마라")</f>
        <v>리세마라</v>
      </c>
      <c r="H4177" t="str">
        <f t="shared" si="550"/>
        <v>스토리위즈</v>
      </c>
      <c r="I4177" t="str">
        <f t="shared" ref="I4177:I4216" si="552">T("내 안에 흑염룡이 산다!")</f>
        <v>내 안에 흑염룡이 산다!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70</v>
      </c>
      <c r="AT4177" t="str">
        <f t="shared" ref="AT4177:AT4216" si="553">T("9791137601338")</f>
        <v>9791137601338</v>
      </c>
      <c r="AV4177" t="str">
        <f t="shared" ref="AV4177:AV4240" si="554">T("판타지 웹소설 &gt; 퓨전 판타지")</f>
        <v>판타지 웹소설 &gt; 퓨전 판타지</v>
      </c>
    </row>
    <row r="4178" spans="1:48" x14ac:dyDescent="0.4">
      <c r="A4178">
        <v>2313016217</v>
      </c>
      <c r="B4178">
        <v>2313016358</v>
      </c>
      <c r="C4178" t="str">
        <f>T("내 안에 흑염룡이 산다! 142화")</f>
        <v>내 안에 흑염룡이 산다! 142화</v>
      </c>
      <c r="D4178" t="str">
        <f>T("142")</f>
        <v>142</v>
      </c>
      <c r="E4178" t="str">
        <f t="shared" si="551"/>
        <v>리세마라</v>
      </c>
      <c r="H4178" t="str">
        <f t="shared" si="550"/>
        <v>스토리위즈</v>
      </c>
      <c r="I4178" t="str">
        <f t="shared" si="552"/>
        <v>내 안에 흑염룡이 산다!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70</v>
      </c>
      <c r="AT4178" t="str">
        <f t="shared" si="553"/>
        <v>9791137601338</v>
      </c>
      <c r="AV4178" t="str">
        <f t="shared" si="554"/>
        <v>판타지 웹소설 &gt; 퓨전 판타지</v>
      </c>
    </row>
    <row r="4179" spans="1:48" x14ac:dyDescent="0.4">
      <c r="A4179">
        <v>2313016217</v>
      </c>
      <c r="B4179">
        <v>2313016359</v>
      </c>
      <c r="C4179" t="str">
        <f>T("내 안에 흑염룡이 산다! 143화")</f>
        <v>내 안에 흑염룡이 산다! 143화</v>
      </c>
      <c r="D4179" t="str">
        <f>T("143")</f>
        <v>143</v>
      </c>
      <c r="E4179" t="str">
        <f t="shared" si="551"/>
        <v>리세마라</v>
      </c>
      <c r="H4179" t="str">
        <f t="shared" si="550"/>
        <v>스토리위즈</v>
      </c>
      <c r="I4179" t="str">
        <f t="shared" si="552"/>
        <v>내 안에 흑염룡이 산다!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70</v>
      </c>
      <c r="AT4179" t="str">
        <f t="shared" si="553"/>
        <v>9791137601338</v>
      </c>
      <c r="AV4179" t="str">
        <f t="shared" si="554"/>
        <v>판타지 웹소설 &gt; 퓨전 판타지</v>
      </c>
    </row>
    <row r="4180" spans="1:48" x14ac:dyDescent="0.4">
      <c r="A4180">
        <v>2313016217</v>
      </c>
      <c r="B4180">
        <v>2313016360</v>
      </c>
      <c r="C4180" t="str">
        <f>T("내 안에 흑염룡이 산다! 144화")</f>
        <v>내 안에 흑염룡이 산다! 144화</v>
      </c>
      <c r="D4180" t="str">
        <f>T("144")</f>
        <v>144</v>
      </c>
      <c r="E4180" t="str">
        <f t="shared" si="551"/>
        <v>리세마라</v>
      </c>
      <c r="H4180" t="str">
        <f t="shared" si="550"/>
        <v>스토리위즈</v>
      </c>
      <c r="I4180" t="str">
        <f t="shared" si="552"/>
        <v>내 안에 흑염룡이 산다!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70</v>
      </c>
      <c r="AT4180" t="str">
        <f t="shared" si="553"/>
        <v>9791137601338</v>
      </c>
      <c r="AV4180" t="str">
        <f t="shared" si="554"/>
        <v>판타지 웹소설 &gt; 퓨전 판타지</v>
      </c>
    </row>
    <row r="4181" spans="1:48" x14ac:dyDescent="0.4">
      <c r="A4181">
        <v>2313016217</v>
      </c>
      <c r="B4181">
        <v>2313016361</v>
      </c>
      <c r="C4181" t="str">
        <f>T("내 안에 흑염룡이 산다! 145화")</f>
        <v>내 안에 흑염룡이 산다! 145화</v>
      </c>
      <c r="D4181" t="str">
        <f>T("145")</f>
        <v>145</v>
      </c>
      <c r="E4181" t="str">
        <f t="shared" si="551"/>
        <v>리세마라</v>
      </c>
      <c r="H4181" t="str">
        <f t="shared" si="550"/>
        <v>스토리위즈</v>
      </c>
      <c r="I4181" t="str">
        <f t="shared" si="552"/>
        <v>내 안에 흑염룡이 산다!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70</v>
      </c>
      <c r="AT4181" t="str">
        <f t="shared" si="553"/>
        <v>9791137601338</v>
      </c>
      <c r="AV4181" t="str">
        <f t="shared" si="554"/>
        <v>판타지 웹소설 &gt; 퓨전 판타지</v>
      </c>
    </row>
    <row r="4182" spans="1:48" x14ac:dyDescent="0.4">
      <c r="A4182">
        <v>2313016217</v>
      </c>
      <c r="B4182">
        <v>2313016362</v>
      </c>
      <c r="C4182" t="str">
        <f>T("내 안에 흑염룡이 산다! 146화")</f>
        <v>내 안에 흑염룡이 산다! 146화</v>
      </c>
      <c r="D4182" t="str">
        <f>T("146")</f>
        <v>146</v>
      </c>
      <c r="E4182" t="str">
        <f t="shared" si="551"/>
        <v>리세마라</v>
      </c>
      <c r="H4182" t="str">
        <f t="shared" si="550"/>
        <v>스토리위즈</v>
      </c>
      <c r="I4182" t="str">
        <f t="shared" si="552"/>
        <v>내 안에 흑염룡이 산다!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70</v>
      </c>
      <c r="AT4182" t="str">
        <f t="shared" si="553"/>
        <v>9791137601338</v>
      </c>
      <c r="AV4182" t="str">
        <f t="shared" si="554"/>
        <v>판타지 웹소설 &gt; 퓨전 판타지</v>
      </c>
    </row>
    <row r="4183" spans="1:48" x14ac:dyDescent="0.4">
      <c r="A4183">
        <v>2313016217</v>
      </c>
      <c r="B4183">
        <v>2313016363</v>
      </c>
      <c r="C4183" t="str">
        <f>T("내 안에 흑염룡이 산다! 147화")</f>
        <v>내 안에 흑염룡이 산다! 147화</v>
      </c>
      <c r="D4183" t="str">
        <f>T("147")</f>
        <v>147</v>
      </c>
      <c r="E4183" t="str">
        <f t="shared" si="551"/>
        <v>리세마라</v>
      </c>
      <c r="H4183" t="str">
        <f t="shared" si="550"/>
        <v>스토리위즈</v>
      </c>
      <c r="I4183" t="str">
        <f t="shared" si="552"/>
        <v>내 안에 흑염룡이 산다!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70</v>
      </c>
      <c r="AT4183" t="str">
        <f t="shared" si="553"/>
        <v>9791137601338</v>
      </c>
      <c r="AV4183" t="str">
        <f t="shared" si="554"/>
        <v>판타지 웹소설 &gt; 퓨전 판타지</v>
      </c>
    </row>
    <row r="4184" spans="1:48" x14ac:dyDescent="0.4">
      <c r="A4184">
        <v>2313016217</v>
      </c>
      <c r="B4184">
        <v>2313016364</v>
      </c>
      <c r="C4184" t="str">
        <f>T("내 안에 흑염룡이 산다! 148화")</f>
        <v>내 안에 흑염룡이 산다! 148화</v>
      </c>
      <c r="D4184" t="str">
        <f>T("148")</f>
        <v>148</v>
      </c>
      <c r="E4184" t="str">
        <f t="shared" si="551"/>
        <v>리세마라</v>
      </c>
      <c r="H4184" t="str">
        <f t="shared" si="550"/>
        <v>스토리위즈</v>
      </c>
      <c r="I4184" t="str">
        <f t="shared" si="552"/>
        <v>내 안에 흑염룡이 산다!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70</v>
      </c>
      <c r="AT4184" t="str">
        <f t="shared" si="553"/>
        <v>9791137601338</v>
      </c>
      <c r="AV4184" t="str">
        <f t="shared" si="554"/>
        <v>판타지 웹소설 &gt; 퓨전 판타지</v>
      </c>
    </row>
    <row r="4185" spans="1:48" x14ac:dyDescent="0.4">
      <c r="A4185">
        <v>2313016217</v>
      </c>
      <c r="B4185">
        <v>2313016365</v>
      </c>
      <c r="C4185" t="str">
        <f>T("내 안에 흑염룡이 산다! 149화")</f>
        <v>내 안에 흑염룡이 산다! 149화</v>
      </c>
      <c r="D4185" t="str">
        <f>T("149")</f>
        <v>149</v>
      </c>
      <c r="E4185" t="str">
        <f t="shared" si="551"/>
        <v>리세마라</v>
      </c>
      <c r="H4185" t="str">
        <f t="shared" si="550"/>
        <v>스토리위즈</v>
      </c>
      <c r="I4185" t="str">
        <f t="shared" si="552"/>
        <v>내 안에 흑염룡이 산다!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70</v>
      </c>
      <c r="AT4185" t="str">
        <f t="shared" si="553"/>
        <v>9791137601338</v>
      </c>
      <c r="AV4185" t="str">
        <f t="shared" si="554"/>
        <v>판타지 웹소설 &gt; 퓨전 판타지</v>
      </c>
    </row>
    <row r="4186" spans="1:48" x14ac:dyDescent="0.4">
      <c r="A4186">
        <v>2313016217</v>
      </c>
      <c r="B4186">
        <v>2313016366</v>
      </c>
      <c r="C4186" t="str">
        <f>T("내 안에 흑염룡이 산다! 150화")</f>
        <v>내 안에 흑염룡이 산다! 150화</v>
      </c>
      <c r="D4186" t="str">
        <f>T("150")</f>
        <v>150</v>
      </c>
      <c r="E4186" t="str">
        <f t="shared" si="551"/>
        <v>리세마라</v>
      </c>
      <c r="H4186" t="str">
        <f t="shared" si="550"/>
        <v>스토리위즈</v>
      </c>
      <c r="I4186" t="str">
        <f t="shared" si="552"/>
        <v>내 안에 흑염룡이 산다!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70</v>
      </c>
      <c r="AT4186" t="str">
        <f t="shared" si="553"/>
        <v>9791137601338</v>
      </c>
      <c r="AV4186" t="str">
        <f t="shared" si="554"/>
        <v>판타지 웹소설 &gt; 퓨전 판타지</v>
      </c>
    </row>
    <row r="4187" spans="1:48" x14ac:dyDescent="0.4">
      <c r="A4187">
        <v>2313016217</v>
      </c>
      <c r="B4187">
        <v>2313016367</v>
      </c>
      <c r="C4187" t="str">
        <f>T("내 안에 흑염룡이 산다! 151화")</f>
        <v>내 안에 흑염룡이 산다! 151화</v>
      </c>
      <c r="D4187" t="str">
        <f>T("151")</f>
        <v>151</v>
      </c>
      <c r="E4187" t="str">
        <f t="shared" si="551"/>
        <v>리세마라</v>
      </c>
      <c r="H4187" t="str">
        <f t="shared" si="550"/>
        <v>스토리위즈</v>
      </c>
      <c r="I4187" t="str">
        <f t="shared" si="552"/>
        <v>내 안에 흑염룡이 산다!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70</v>
      </c>
      <c r="AT4187" t="str">
        <f t="shared" si="553"/>
        <v>9791137601338</v>
      </c>
      <c r="AV4187" t="str">
        <f t="shared" si="554"/>
        <v>판타지 웹소설 &gt; 퓨전 판타지</v>
      </c>
    </row>
    <row r="4188" spans="1:48" x14ac:dyDescent="0.4">
      <c r="A4188">
        <v>2313016217</v>
      </c>
      <c r="B4188">
        <v>2313016368</v>
      </c>
      <c r="C4188" t="str">
        <f>T("내 안에 흑염룡이 산다! 152화")</f>
        <v>내 안에 흑염룡이 산다! 152화</v>
      </c>
      <c r="D4188" t="str">
        <f>T("152")</f>
        <v>152</v>
      </c>
      <c r="E4188" t="str">
        <f t="shared" si="551"/>
        <v>리세마라</v>
      </c>
      <c r="H4188" t="str">
        <f t="shared" si="550"/>
        <v>스토리위즈</v>
      </c>
      <c r="I4188" t="str">
        <f t="shared" si="552"/>
        <v>내 안에 흑염룡이 산다!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70</v>
      </c>
      <c r="AT4188" t="str">
        <f t="shared" si="553"/>
        <v>9791137601338</v>
      </c>
      <c r="AV4188" t="str">
        <f t="shared" si="554"/>
        <v>판타지 웹소설 &gt; 퓨전 판타지</v>
      </c>
    </row>
    <row r="4189" spans="1:48" x14ac:dyDescent="0.4">
      <c r="A4189">
        <v>2313016217</v>
      </c>
      <c r="B4189">
        <v>2313016369</v>
      </c>
      <c r="C4189" t="str">
        <f>T("내 안에 흑염룡이 산다! 153화")</f>
        <v>내 안에 흑염룡이 산다! 153화</v>
      </c>
      <c r="D4189" t="str">
        <f>T("153")</f>
        <v>153</v>
      </c>
      <c r="E4189" t="str">
        <f t="shared" si="551"/>
        <v>리세마라</v>
      </c>
      <c r="H4189" t="str">
        <f t="shared" si="550"/>
        <v>스토리위즈</v>
      </c>
      <c r="I4189" t="str">
        <f t="shared" si="552"/>
        <v>내 안에 흑염룡이 산다!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70</v>
      </c>
      <c r="AT4189" t="str">
        <f t="shared" si="553"/>
        <v>9791137601338</v>
      </c>
      <c r="AV4189" t="str">
        <f t="shared" si="554"/>
        <v>판타지 웹소설 &gt; 퓨전 판타지</v>
      </c>
    </row>
    <row r="4190" spans="1:48" x14ac:dyDescent="0.4">
      <c r="A4190">
        <v>2313016217</v>
      </c>
      <c r="B4190">
        <v>2313016370</v>
      </c>
      <c r="C4190" t="str">
        <f>T("내 안에 흑염룡이 산다! 154화")</f>
        <v>내 안에 흑염룡이 산다! 154화</v>
      </c>
      <c r="D4190" t="str">
        <f>T("154")</f>
        <v>154</v>
      </c>
      <c r="E4190" t="str">
        <f t="shared" si="551"/>
        <v>리세마라</v>
      </c>
      <c r="H4190" t="str">
        <f t="shared" si="550"/>
        <v>스토리위즈</v>
      </c>
      <c r="I4190" t="str">
        <f t="shared" si="552"/>
        <v>내 안에 흑염룡이 산다!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70</v>
      </c>
      <c r="AT4190" t="str">
        <f t="shared" si="553"/>
        <v>9791137601338</v>
      </c>
      <c r="AV4190" t="str">
        <f t="shared" si="554"/>
        <v>판타지 웹소설 &gt; 퓨전 판타지</v>
      </c>
    </row>
    <row r="4191" spans="1:48" x14ac:dyDescent="0.4">
      <c r="A4191">
        <v>2313016217</v>
      </c>
      <c r="B4191">
        <v>2313016371</v>
      </c>
      <c r="C4191" t="str">
        <f>T("내 안에 흑염룡이 산다! 155화")</f>
        <v>내 안에 흑염룡이 산다! 155화</v>
      </c>
      <c r="D4191" t="str">
        <f>T("155")</f>
        <v>155</v>
      </c>
      <c r="E4191" t="str">
        <f t="shared" si="551"/>
        <v>리세마라</v>
      </c>
      <c r="H4191" t="str">
        <f t="shared" si="550"/>
        <v>스토리위즈</v>
      </c>
      <c r="I4191" t="str">
        <f t="shared" si="552"/>
        <v>내 안에 흑염룡이 산다!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70</v>
      </c>
      <c r="AT4191" t="str">
        <f t="shared" si="553"/>
        <v>9791137601338</v>
      </c>
      <c r="AV4191" t="str">
        <f t="shared" si="554"/>
        <v>판타지 웹소설 &gt; 퓨전 판타지</v>
      </c>
    </row>
    <row r="4192" spans="1:48" x14ac:dyDescent="0.4">
      <c r="A4192">
        <v>2313016217</v>
      </c>
      <c r="B4192">
        <v>2313016372</v>
      </c>
      <c r="C4192" t="str">
        <f>T("내 안에 흑염룡이 산다! 156화")</f>
        <v>내 안에 흑염룡이 산다! 156화</v>
      </c>
      <c r="D4192" t="str">
        <f>T("156")</f>
        <v>156</v>
      </c>
      <c r="E4192" t="str">
        <f t="shared" si="551"/>
        <v>리세마라</v>
      </c>
      <c r="H4192" t="str">
        <f t="shared" si="550"/>
        <v>스토리위즈</v>
      </c>
      <c r="I4192" t="str">
        <f t="shared" si="552"/>
        <v>내 안에 흑염룡이 산다!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70</v>
      </c>
      <c r="AT4192" t="str">
        <f t="shared" si="553"/>
        <v>9791137601338</v>
      </c>
      <c r="AV4192" t="str">
        <f t="shared" si="554"/>
        <v>판타지 웹소설 &gt; 퓨전 판타지</v>
      </c>
    </row>
    <row r="4193" spans="1:48" x14ac:dyDescent="0.4">
      <c r="A4193">
        <v>2313016217</v>
      </c>
      <c r="B4193">
        <v>2313016373</v>
      </c>
      <c r="C4193" t="str">
        <f>T("내 안에 흑염룡이 산다! 157화")</f>
        <v>내 안에 흑염룡이 산다! 157화</v>
      </c>
      <c r="D4193" t="str">
        <f>T("157")</f>
        <v>157</v>
      </c>
      <c r="E4193" t="str">
        <f t="shared" si="551"/>
        <v>리세마라</v>
      </c>
      <c r="H4193" t="str">
        <f t="shared" si="550"/>
        <v>스토리위즈</v>
      </c>
      <c r="I4193" t="str">
        <f t="shared" si="552"/>
        <v>내 안에 흑염룡이 산다!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70</v>
      </c>
      <c r="AT4193" t="str">
        <f t="shared" si="553"/>
        <v>9791137601338</v>
      </c>
      <c r="AV4193" t="str">
        <f t="shared" si="554"/>
        <v>판타지 웹소설 &gt; 퓨전 판타지</v>
      </c>
    </row>
    <row r="4194" spans="1:48" x14ac:dyDescent="0.4">
      <c r="A4194">
        <v>2313016217</v>
      </c>
      <c r="B4194">
        <v>2313016374</v>
      </c>
      <c r="C4194" t="str">
        <f>T("내 안에 흑염룡이 산다! 158화")</f>
        <v>내 안에 흑염룡이 산다! 158화</v>
      </c>
      <c r="D4194" t="str">
        <f>T("158")</f>
        <v>158</v>
      </c>
      <c r="E4194" t="str">
        <f t="shared" si="551"/>
        <v>리세마라</v>
      </c>
      <c r="H4194" t="str">
        <f t="shared" si="550"/>
        <v>스토리위즈</v>
      </c>
      <c r="I4194" t="str">
        <f t="shared" si="552"/>
        <v>내 안에 흑염룡이 산다!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70</v>
      </c>
      <c r="AT4194" t="str">
        <f t="shared" si="553"/>
        <v>9791137601338</v>
      </c>
      <c r="AV4194" t="str">
        <f t="shared" si="554"/>
        <v>판타지 웹소설 &gt; 퓨전 판타지</v>
      </c>
    </row>
    <row r="4195" spans="1:48" x14ac:dyDescent="0.4">
      <c r="A4195">
        <v>2313016217</v>
      </c>
      <c r="B4195">
        <v>2313016375</v>
      </c>
      <c r="C4195" t="str">
        <f>T("내 안에 흑염룡이 산다! 159화")</f>
        <v>내 안에 흑염룡이 산다! 159화</v>
      </c>
      <c r="D4195" t="str">
        <f>T("159")</f>
        <v>159</v>
      </c>
      <c r="E4195" t="str">
        <f t="shared" si="551"/>
        <v>리세마라</v>
      </c>
      <c r="H4195" t="str">
        <f t="shared" si="550"/>
        <v>스토리위즈</v>
      </c>
      <c r="I4195" t="str">
        <f t="shared" si="552"/>
        <v>내 안에 흑염룡이 산다!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70</v>
      </c>
      <c r="AT4195" t="str">
        <f t="shared" si="553"/>
        <v>9791137601338</v>
      </c>
      <c r="AV4195" t="str">
        <f t="shared" si="554"/>
        <v>판타지 웹소설 &gt; 퓨전 판타지</v>
      </c>
    </row>
    <row r="4196" spans="1:48" x14ac:dyDescent="0.4">
      <c r="A4196">
        <v>2313016217</v>
      </c>
      <c r="B4196">
        <v>2313016376</v>
      </c>
      <c r="C4196" t="str">
        <f>T("내 안에 흑염룡이 산다! 160화")</f>
        <v>내 안에 흑염룡이 산다! 160화</v>
      </c>
      <c r="D4196" t="str">
        <f>T("160")</f>
        <v>160</v>
      </c>
      <c r="E4196" t="str">
        <f t="shared" si="551"/>
        <v>리세마라</v>
      </c>
      <c r="H4196" t="str">
        <f t="shared" si="550"/>
        <v>스토리위즈</v>
      </c>
      <c r="I4196" t="str">
        <f t="shared" si="552"/>
        <v>내 안에 흑염룡이 산다!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70</v>
      </c>
      <c r="AT4196" t="str">
        <f t="shared" si="553"/>
        <v>9791137601338</v>
      </c>
      <c r="AV4196" t="str">
        <f t="shared" si="554"/>
        <v>판타지 웹소설 &gt; 퓨전 판타지</v>
      </c>
    </row>
    <row r="4197" spans="1:48" x14ac:dyDescent="0.4">
      <c r="A4197">
        <v>2313016217</v>
      </c>
      <c r="B4197">
        <v>2313016377</v>
      </c>
      <c r="C4197" t="str">
        <f>T("내 안에 흑염룡이 산다! 161화")</f>
        <v>내 안에 흑염룡이 산다! 161화</v>
      </c>
      <c r="D4197" t="str">
        <f>T("161")</f>
        <v>161</v>
      </c>
      <c r="E4197" t="str">
        <f t="shared" si="551"/>
        <v>리세마라</v>
      </c>
      <c r="H4197" t="str">
        <f t="shared" si="550"/>
        <v>스토리위즈</v>
      </c>
      <c r="I4197" t="str">
        <f t="shared" si="552"/>
        <v>내 안에 흑염룡이 산다!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70</v>
      </c>
      <c r="AT4197" t="str">
        <f t="shared" si="553"/>
        <v>9791137601338</v>
      </c>
      <c r="AV4197" t="str">
        <f t="shared" si="554"/>
        <v>판타지 웹소설 &gt; 퓨전 판타지</v>
      </c>
    </row>
    <row r="4198" spans="1:48" x14ac:dyDescent="0.4">
      <c r="A4198">
        <v>2313016217</v>
      </c>
      <c r="B4198">
        <v>2313016378</v>
      </c>
      <c r="C4198" t="str">
        <f>T("내 안에 흑염룡이 산다! 162화")</f>
        <v>내 안에 흑염룡이 산다! 162화</v>
      </c>
      <c r="D4198" t="str">
        <f>T("162")</f>
        <v>162</v>
      </c>
      <c r="E4198" t="str">
        <f t="shared" si="551"/>
        <v>리세마라</v>
      </c>
      <c r="H4198" t="str">
        <f t="shared" si="550"/>
        <v>스토리위즈</v>
      </c>
      <c r="I4198" t="str">
        <f t="shared" si="552"/>
        <v>내 안에 흑염룡이 산다!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70</v>
      </c>
      <c r="AT4198" t="str">
        <f t="shared" si="553"/>
        <v>9791137601338</v>
      </c>
      <c r="AV4198" t="str">
        <f t="shared" si="554"/>
        <v>판타지 웹소설 &gt; 퓨전 판타지</v>
      </c>
    </row>
    <row r="4199" spans="1:48" x14ac:dyDescent="0.4">
      <c r="A4199">
        <v>2313016217</v>
      </c>
      <c r="B4199">
        <v>2313016379</v>
      </c>
      <c r="C4199" t="str">
        <f>T("내 안에 흑염룡이 산다! 163화")</f>
        <v>내 안에 흑염룡이 산다! 163화</v>
      </c>
      <c r="D4199" t="str">
        <f>T("163")</f>
        <v>163</v>
      </c>
      <c r="E4199" t="str">
        <f t="shared" si="551"/>
        <v>리세마라</v>
      </c>
      <c r="H4199" t="str">
        <f t="shared" si="550"/>
        <v>스토리위즈</v>
      </c>
      <c r="I4199" t="str">
        <f t="shared" si="552"/>
        <v>내 안에 흑염룡이 산다!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70</v>
      </c>
      <c r="AT4199" t="str">
        <f t="shared" si="553"/>
        <v>9791137601338</v>
      </c>
      <c r="AV4199" t="str">
        <f t="shared" si="554"/>
        <v>판타지 웹소설 &gt; 퓨전 판타지</v>
      </c>
    </row>
    <row r="4200" spans="1:48" x14ac:dyDescent="0.4">
      <c r="A4200">
        <v>2313016217</v>
      </c>
      <c r="B4200">
        <v>2313016380</v>
      </c>
      <c r="C4200" t="str">
        <f>T("내 안에 흑염룡이 산다! 164화")</f>
        <v>내 안에 흑염룡이 산다! 164화</v>
      </c>
      <c r="D4200" t="str">
        <f>T("164")</f>
        <v>164</v>
      </c>
      <c r="E4200" t="str">
        <f t="shared" si="551"/>
        <v>리세마라</v>
      </c>
      <c r="H4200" t="str">
        <f t="shared" si="550"/>
        <v>스토리위즈</v>
      </c>
      <c r="I4200" t="str">
        <f t="shared" si="552"/>
        <v>내 안에 흑염룡이 산다!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70</v>
      </c>
      <c r="AT4200" t="str">
        <f t="shared" si="553"/>
        <v>9791137601338</v>
      </c>
      <c r="AV4200" t="str">
        <f t="shared" si="554"/>
        <v>판타지 웹소설 &gt; 퓨전 판타지</v>
      </c>
    </row>
    <row r="4201" spans="1:48" x14ac:dyDescent="0.4">
      <c r="A4201">
        <v>2313016217</v>
      </c>
      <c r="B4201">
        <v>2313016381</v>
      </c>
      <c r="C4201" t="str">
        <f>T("내 안에 흑염룡이 산다! 165화")</f>
        <v>내 안에 흑염룡이 산다! 165화</v>
      </c>
      <c r="D4201" t="str">
        <f>T("165")</f>
        <v>165</v>
      </c>
      <c r="E4201" t="str">
        <f t="shared" si="551"/>
        <v>리세마라</v>
      </c>
      <c r="H4201" t="str">
        <f t="shared" si="550"/>
        <v>스토리위즈</v>
      </c>
      <c r="I4201" t="str">
        <f t="shared" si="552"/>
        <v>내 안에 흑염룡이 산다!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70</v>
      </c>
      <c r="AT4201" t="str">
        <f t="shared" si="553"/>
        <v>9791137601338</v>
      </c>
      <c r="AV4201" t="str">
        <f t="shared" si="554"/>
        <v>판타지 웹소설 &gt; 퓨전 판타지</v>
      </c>
    </row>
    <row r="4202" spans="1:48" x14ac:dyDescent="0.4">
      <c r="A4202">
        <v>2313016217</v>
      </c>
      <c r="B4202">
        <v>2313016382</v>
      </c>
      <c r="C4202" t="str">
        <f>T("내 안에 흑염룡이 산다! 166화")</f>
        <v>내 안에 흑염룡이 산다! 166화</v>
      </c>
      <c r="D4202" t="str">
        <f>T("166")</f>
        <v>166</v>
      </c>
      <c r="E4202" t="str">
        <f t="shared" si="551"/>
        <v>리세마라</v>
      </c>
      <c r="H4202" t="str">
        <f t="shared" si="550"/>
        <v>스토리위즈</v>
      </c>
      <c r="I4202" t="str">
        <f t="shared" si="552"/>
        <v>내 안에 흑염룡이 산다!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70</v>
      </c>
      <c r="AT4202" t="str">
        <f t="shared" si="553"/>
        <v>9791137601338</v>
      </c>
      <c r="AV4202" t="str">
        <f t="shared" si="554"/>
        <v>판타지 웹소설 &gt; 퓨전 판타지</v>
      </c>
    </row>
    <row r="4203" spans="1:48" x14ac:dyDescent="0.4">
      <c r="A4203">
        <v>2313016217</v>
      </c>
      <c r="B4203">
        <v>2313016383</v>
      </c>
      <c r="C4203" t="str">
        <f>T("내 안에 흑염룡이 산다! 167화")</f>
        <v>내 안에 흑염룡이 산다! 167화</v>
      </c>
      <c r="D4203" t="str">
        <f>T("167")</f>
        <v>167</v>
      </c>
      <c r="E4203" t="str">
        <f t="shared" si="551"/>
        <v>리세마라</v>
      </c>
      <c r="H4203" t="str">
        <f t="shared" si="550"/>
        <v>스토리위즈</v>
      </c>
      <c r="I4203" t="str">
        <f t="shared" si="552"/>
        <v>내 안에 흑염룡이 산다!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70</v>
      </c>
      <c r="AT4203" t="str">
        <f t="shared" si="553"/>
        <v>9791137601338</v>
      </c>
      <c r="AV4203" t="str">
        <f t="shared" si="554"/>
        <v>판타지 웹소설 &gt; 퓨전 판타지</v>
      </c>
    </row>
    <row r="4204" spans="1:48" x14ac:dyDescent="0.4">
      <c r="A4204">
        <v>2313016217</v>
      </c>
      <c r="B4204">
        <v>2313016384</v>
      </c>
      <c r="C4204" t="str">
        <f>T("내 안에 흑염룡이 산다! 168화")</f>
        <v>내 안에 흑염룡이 산다! 168화</v>
      </c>
      <c r="D4204" t="str">
        <f>T("168")</f>
        <v>168</v>
      </c>
      <c r="E4204" t="str">
        <f t="shared" si="551"/>
        <v>리세마라</v>
      </c>
      <c r="H4204" t="str">
        <f t="shared" si="550"/>
        <v>스토리위즈</v>
      </c>
      <c r="I4204" t="str">
        <f t="shared" si="552"/>
        <v>내 안에 흑염룡이 산다!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70</v>
      </c>
      <c r="AT4204" t="str">
        <f t="shared" si="553"/>
        <v>9791137601338</v>
      </c>
      <c r="AV4204" t="str">
        <f t="shared" si="554"/>
        <v>판타지 웹소설 &gt; 퓨전 판타지</v>
      </c>
    </row>
    <row r="4205" spans="1:48" x14ac:dyDescent="0.4">
      <c r="A4205">
        <v>2313016217</v>
      </c>
      <c r="B4205">
        <v>2313016385</v>
      </c>
      <c r="C4205" t="str">
        <f>T("내 안에 흑염룡이 산다! 169화")</f>
        <v>내 안에 흑염룡이 산다! 169화</v>
      </c>
      <c r="D4205" t="str">
        <f>T("169")</f>
        <v>169</v>
      </c>
      <c r="E4205" t="str">
        <f t="shared" si="551"/>
        <v>리세마라</v>
      </c>
      <c r="H4205" t="str">
        <f t="shared" si="550"/>
        <v>스토리위즈</v>
      </c>
      <c r="I4205" t="str">
        <f t="shared" si="552"/>
        <v>내 안에 흑염룡이 산다!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70</v>
      </c>
      <c r="AT4205" t="str">
        <f t="shared" si="553"/>
        <v>9791137601338</v>
      </c>
      <c r="AV4205" t="str">
        <f t="shared" si="554"/>
        <v>판타지 웹소설 &gt; 퓨전 판타지</v>
      </c>
    </row>
    <row r="4206" spans="1:48" x14ac:dyDescent="0.4">
      <c r="A4206">
        <v>2313016217</v>
      </c>
      <c r="B4206">
        <v>2313016386</v>
      </c>
      <c r="C4206" t="str">
        <f>T("내 안에 흑염룡이 산다! 170화")</f>
        <v>내 안에 흑염룡이 산다! 170화</v>
      </c>
      <c r="D4206" t="str">
        <f>T("170")</f>
        <v>170</v>
      </c>
      <c r="E4206" t="str">
        <f t="shared" si="551"/>
        <v>리세마라</v>
      </c>
      <c r="H4206" t="str">
        <f t="shared" si="550"/>
        <v>스토리위즈</v>
      </c>
      <c r="I4206" t="str">
        <f t="shared" si="552"/>
        <v>내 안에 흑염룡이 산다!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70</v>
      </c>
      <c r="AT4206" t="str">
        <f t="shared" si="553"/>
        <v>9791137601338</v>
      </c>
      <c r="AV4206" t="str">
        <f t="shared" si="554"/>
        <v>판타지 웹소설 &gt; 퓨전 판타지</v>
      </c>
    </row>
    <row r="4207" spans="1:48" x14ac:dyDescent="0.4">
      <c r="A4207">
        <v>2313016217</v>
      </c>
      <c r="B4207">
        <v>2313016387</v>
      </c>
      <c r="C4207" t="str">
        <f>T("내 안에 흑염룡이 산다! 171화")</f>
        <v>내 안에 흑염룡이 산다! 171화</v>
      </c>
      <c r="D4207" t="str">
        <f>T("171")</f>
        <v>171</v>
      </c>
      <c r="E4207" t="str">
        <f t="shared" si="551"/>
        <v>리세마라</v>
      </c>
      <c r="H4207" t="str">
        <f t="shared" si="550"/>
        <v>스토리위즈</v>
      </c>
      <c r="I4207" t="str">
        <f t="shared" si="552"/>
        <v>내 안에 흑염룡이 산다!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70</v>
      </c>
      <c r="AT4207" t="str">
        <f t="shared" si="553"/>
        <v>9791137601338</v>
      </c>
      <c r="AV4207" t="str">
        <f t="shared" si="554"/>
        <v>판타지 웹소설 &gt; 퓨전 판타지</v>
      </c>
    </row>
    <row r="4208" spans="1:48" x14ac:dyDescent="0.4">
      <c r="A4208">
        <v>2313016217</v>
      </c>
      <c r="B4208">
        <v>2313016388</v>
      </c>
      <c r="C4208" t="str">
        <f>T("내 안에 흑염룡이 산다! 172화")</f>
        <v>내 안에 흑염룡이 산다! 172화</v>
      </c>
      <c r="D4208" t="str">
        <f>T("172")</f>
        <v>172</v>
      </c>
      <c r="E4208" t="str">
        <f t="shared" si="551"/>
        <v>리세마라</v>
      </c>
      <c r="H4208" t="str">
        <f t="shared" si="550"/>
        <v>스토리위즈</v>
      </c>
      <c r="I4208" t="str">
        <f t="shared" si="552"/>
        <v>내 안에 흑염룡이 산다!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70</v>
      </c>
      <c r="AT4208" t="str">
        <f t="shared" si="553"/>
        <v>9791137601338</v>
      </c>
      <c r="AV4208" t="str">
        <f t="shared" si="554"/>
        <v>판타지 웹소설 &gt; 퓨전 판타지</v>
      </c>
    </row>
    <row r="4209" spans="1:48" x14ac:dyDescent="0.4">
      <c r="A4209">
        <v>2313016217</v>
      </c>
      <c r="B4209">
        <v>2313016389</v>
      </c>
      <c r="C4209" t="str">
        <f>T("내 안에 흑염룡이 산다! 173화")</f>
        <v>내 안에 흑염룡이 산다! 173화</v>
      </c>
      <c r="D4209" t="str">
        <f>T("173")</f>
        <v>173</v>
      </c>
      <c r="E4209" t="str">
        <f t="shared" si="551"/>
        <v>리세마라</v>
      </c>
      <c r="H4209" t="str">
        <f t="shared" si="550"/>
        <v>스토리위즈</v>
      </c>
      <c r="I4209" t="str">
        <f t="shared" si="552"/>
        <v>내 안에 흑염룡이 산다!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70</v>
      </c>
      <c r="AT4209" t="str">
        <f t="shared" si="553"/>
        <v>9791137601338</v>
      </c>
      <c r="AV4209" t="str">
        <f t="shared" si="554"/>
        <v>판타지 웹소설 &gt; 퓨전 판타지</v>
      </c>
    </row>
    <row r="4210" spans="1:48" x14ac:dyDescent="0.4">
      <c r="A4210">
        <v>2313016217</v>
      </c>
      <c r="B4210">
        <v>2313016390</v>
      </c>
      <c r="C4210" t="str">
        <f>T("내 안에 흑염룡이 산다! 174화")</f>
        <v>내 안에 흑염룡이 산다! 174화</v>
      </c>
      <c r="D4210" t="str">
        <f>T("174")</f>
        <v>174</v>
      </c>
      <c r="E4210" t="str">
        <f t="shared" si="551"/>
        <v>리세마라</v>
      </c>
      <c r="H4210" t="str">
        <f t="shared" si="550"/>
        <v>스토리위즈</v>
      </c>
      <c r="I4210" t="str">
        <f t="shared" si="552"/>
        <v>내 안에 흑염룡이 산다!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70</v>
      </c>
      <c r="AT4210" t="str">
        <f t="shared" si="553"/>
        <v>9791137601338</v>
      </c>
      <c r="AV4210" t="str">
        <f t="shared" si="554"/>
        <v>판타지 웹소설 &gt; 퓨전 판타지</v>
      </c>
    </row>
    <row r="4211" spans="1:48" x14ac:dyDescent="0.4">
      <c r="A4211">
        <v>2313016217</v>
      </c>
      <c r="B4211">
        <v>2313016391</v>
      </c>
      <c r="C4211" t="str">
        <f>T("내 안에 흑염룡이 산다! 175화")</f>
        <v>내 안에 흑염룡이 산다! 175화</v>
      </c>
      <c r="D4211" t="str">
        <f>T("175")</f>
        <v>175</v>
      </c>
      <c r="E4211" t="str">
        <f t="shared" si="551"/>
        <v>리세마라</v>
      </c>
      <c r="H4211" t="str">
        <f t="shared" si="550"/>
        <v>스토리위즈</v>
      </c>
      <c r="I4211" t="str">
        <f t="shared" si="552"/>
        <v>내 안에 흑염룡이 산다!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70</v>
      </c>
      <c r="AT4211" t="str">
        <f t="shared" si="553"/>
        <v>9791137601338</v>
      </c>
      <c r="AV4211" t="str">
        <f t="shared" si="554"/>
        <v>판타지 웹소설 &gt; 퓨전 판타지</v>
      </c>
    </row>
    <row r="4212" spans="1:48" x14ac:dyDescent="0.4">
      <c r="A4212">
        <v>2313016217</v>
      </c>
      <c r="B4212">
        <v>2313016392</v>
      </c>
      <c r="C4212" t="str">
        <f>T("내 안에 흑염룡이 산다! 176화")</f>
        <v>내 안에 흑염룡이 산다! 176화</v>
      </c>
      <c r="D4212" t="str">
        <f>T("176")</f>
        <v>176</v>
      </c>
      <c r="E4212" t="str">
        <f t="shared" si="551"/>
        <v>리세마라</v>
      </c>
      <c r="H4212" t="str">
        <f t="shared" si="550"/>
        <v>스토리위즈</v>
      </c>
      <c r="I4212" t="str">
        <f t="shared" si="552"/>
        <v>내 안에 흑염룡이 산다!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70</v>
      </c>
      <c r="AT4212" t="str">
        <f t="shared" si="553"/>
        <v>9791137601338</v>
      </c>
      <c r="AV4212" t="str">
        <f t="shared" si="554"/>
        <v>판타지 웹소설 &gt; 퓨전 판타지</v>
      </c>
    </row>
    <row r="4213" spans="1:48" x14ac:dyDescent="0.4">
      <c r="A4213">
        <v>2313016217</v>
      </c>
      <c r="B4213">
        <v>2313016393</v>
      </c>
      <c r="C4213" t="str">
        <f>T("내 안에 흑염룡이 산다! 177화")</f>
        <v>내 안에 흑염룡이 산다! 177화</v>
      </c>
      <c r="D4213" t="str">
        <f>T("177")</f>
        <v>177</v>
      </c>
      <c r="E4213" t="str">
        <f t="shared" si="551"/>
        <v>리세마라</v>
      </c>
      <c r="H4213" t="str">
        <f t="shared" si="550"/>
        <v>스토리위즈</v>
      </c>
      <c r="I4213" t="str">
        <f t="shared" si="552"/>
        <v>내 안에 흑염룡이 산다!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70</v>
      </c>
      <c r="AT4213" t="str">
        <f t="shared" si="553"/>
        <v>9791137601338</v>
      </c>
      <c r="AV4213" t="str">
        <f t="shared" si="554"/>
        <v>판타지 웹소설 &gt; 퓨전 판타지</v>
      </c>
    </row>
    <row r="4214" spans="1:48" x14ac:dyDescent="0.4">
      <c r="A4214">
        <v>2313016217</v>
      </c>
      <c r="B4214">
        <v>2313016394</v>
      </c>
      <c r="C4214" t="str">
        <f>T("내 안에 흑염룡이 산다! 178화")</f>
        <v>내 안에 흑염룡이 산다! 178화</v>
      </c>
      <c r="D4214" t="str">
        <f>T("178")</f>
        <v>178</v>
      </c>
      <c r="E4214" t="str">
        <f t="shared" si="551"/>
        <v>리세마라</v>
      </c>
      <c r="H4214" t="str">
        <f t="shared" si="550"/>
        <v>스토리위즈</v>
      </c>
      <c r="I4214" t="str">
        <f t="shared" si="552"/>
        <v>내 안에 흑염룡이 산다!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70</v>
      </c>
      <c r="AT4214" t="str">
        <f t="shared" si="553"/>
        <v>9791137601338</v>
      </c>
      <c r="AV4214" t="str">
        <f t="shared" si="554"/>
        <v>판타지 웹소설 &gt; 퓨전 판타지</v>
      </c>
    </row>
    <row r="4215" spans="1:48" x14ac:dyDescent="0.4">
      <c r="A4215">
        <v>2313016217</v>
      </c>
      <c r="B4215">
        <v>2313016395</v>
      </c>
      <c r="C4215" t="str">
        <f>T("내 안에 흑염룡이 산다! 179화")</f>
        <v>내 안에 흑염룡이 산다! 179화</v>
      </c>
      <c r="D4215" t="str">
        <f>T("179")</f>
        <v>179</v>
      </c>
      <c r="E4215" t="str">
        <f t="shared" si="551"/>
        <v>리세마라</v>
      </c>
      <c r="H4215" t="str">
        <f t="shared" si="550"/>
        <v>스토리위즈</v>
      </c>
      <c r="I4215" t="str">
        <f t="shared" si="552"/>
        <v>내 안에 흑염룡이 산다!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70</v>
      </c>
      <c r="AT4215" t="str">
        <f t="shared" si="553"/>
        <v>9791137601338</v>
      </c>
      <c r="AV4215" t="str">
        <f t="shared" si="554"/>
        <v>판타지 웹소설 &gt; 퓨전 판타지</v>
      </c>
    </row>
    <row r="4216" spans="1:48" x14ac:dyDescent="0.4">
      <c r="A4216">
        <v>2313016217</v>
      </c>
      <c r="B4216">
        <v>2313016396</v>
      </c>
      <c r="C4216" t="str">
        <f>T("내 안에 흑염룡이 산다! 180화")</f>
        <v>내 안에 흑염룡이 산다! 180화</v>
      </c>
      <c r="D4216" t="str">
        <f>T("180")</f>
        <v>180</v>
      </c>
      <c r="E4216" t="str">
        <f t="shared" si="551"/>
        <v>리세마라</v>
      </c>
      <c r="H4216" t="str">
        <f t="shared" si="550"/>
        <v>스토리위즈</v>
      </c>
      <c r="I4216" t="str">
        <f t="shared" si="552"/>
        <v>내 안에 흑염룡이 산다!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70</v>
      </c>
      <c r="AT4216" t="str">
        <f t="shared" si="553"/>
        <v>9791137601338</v>
      </c>
      <c r="AV4216" t="str">
        <f t="shared" si="554"/>
        <v>판타지 웹소설 &gt; 퓨전 판타지</v>
      </c>
    </row>
    <row r="4217" spans="1:48" x14ac:dyDescent="0.4">
      <c r="A4217">
        <v>2313016617</v>
      </c>
      <c r="B4217">
        <v>2313016642</v>
      </c>
      <c r="C4217" t="str">
        <f>T("올마스터가 된 비전서고 26화")</f>
        <v>올마스터가 된 비전서고 26화</v>
      </c>
      <c r="D4217" t="str">
        <f>T("26")</f>
        <v>26</v>
      </c>
      <c r="E4217" t="str">
        <f t="shared" ref="E4217:E4280" si="555">T("글면증")</f>
        <v>글면증</v>
      </c>
      <c r="H4217" t="str">
        <f t="shared" ref="H4217:H4280" si="556">T("스토리위즈")</f>
        <v>스토리위즈</v>
      </c>
      <c r="I4217" t="str">
        <f t="shared" ref="I4217:I4280" si="557">T("올마스터가 된 비전서고")</f>
        <v>올마스터가 된 비전서고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70</v>
      </c>
      <c r="AT4217" t="str">
        <f t="shared" ref="AT4217:AT4280" si="558">T("9791137601314")</f>
        <v>9791137601314</v>
      </c>
      <c r="AV4217" t="str">
        <f t="shared" si="554"/>
        <v>판타지 웹소설 &gt; 퓨전 판타지</v>
      </c>
    </row>
    <row r="4218" spans="1:48" x14ac:dyDescent="0.4">
      <c r="A4218">
        <v>2313016617</v>
      </c>
      <c r="B4218">
        <v>2313016643</v>
      </c>
      <c r="C4218" t="str">
        <f>T("올마스터가 된 비전서고 27화")</f>
        <v>올마스터가 된 비전서고 27화</v>
      </c>
      <c r="D4218" t="str">
        <f>T("27")</f>
        <v>27</v>
      </c>
      <c r="E4218" t="str">
        <f t="shared" si="555"/>
        <v>글면증</v>
      </c>
      <c r="H4218" t="str">
        <f t="shared" si="556"/>
        <v>스토리위즈</v>
      </c>
      <c r="I4218" t="str">
        <f t="shared" si="557"/>
        <v>올마스터가 된 비전서고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70</v>
      </c>
      <c r="AT4218" t="str">
        <f t="shared" si="558"/>
        <v>9791137601314</v>
      </c>
      <c r="AV4218" t="str">
        <f t="shared" si="554"/>
        <v>판타지 웹소설 &gt; 퓨전 판타지</v>
      </c>
    </row>
    <row r="4219" spans="1:48" x14ac:dyDescent="0.4">
      <c r="A4219">
        <v>2313016617</v>
      </c>
      <c r="B4219">
        <v>2313016644</v>
      </c>
      <c r="C4219" t="str">
        <f>T("올마스터가 된 비전서고 28화")</f>
        <v>올마스터가 된 비전서고 28화</v>
      </c>
      <c r="D4219" t="str">
        <f>T("28")</f>
        <v>28</v>
      </c>
      <c r="E4219" t="str">
        <f t="shared" si="555"/>
        <v>글면증</v>
      </c>
      <c r="H4219" t="str">
        <f t="shared" si="556"/>
        <v>스토리위즈</v>
      </c>
      <c r="I4219" t="str">
        <f t="shared" si="557"/>
        <v>올마스터가 된 비전서고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70</v>
      </c>
      <c r="AT4219" t="str">
        <f t="shared" si="558"/>
        <v>9791137601314</v>
      </c>
      <c r="AV4219" t="str">
        <f t="shared" si="554"/>
        <v>판타지 웹소설 &gt; 퓨전 판타지</v>
      </c>
    </row>
    <row r="4220" spans="1:48" x14ac:dyDescent="0.4">
      <c r="A4220">
        <v>2313016617</v>
      </c>
      <c r="B4220">
        <v>2313016645</v>
      </c>
      <c r="C4220" t="str">
        <f>T("올마스터가 된 비전서고 29화")</f>
        <v>올마스터가 된 비전서고 29화</v>
      </c>
      <c r="D4220" t="str">
        <f>T("29")</f>
        <v>29</v>
      </c>
      <c r="E4220" t="str">
        <f t="shared" si="555"/>
        <v>글면증</v>
      </c>
      <c r="H4220" t="str">
        <f t="shared" si="556"/>
        <v>스토리위즈</v>
      </c>
      <c r="I4220" t="str">
        <f t="shared" si="557"/>
        <v>올마스터가 된 비전서고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70</v>
      </c>
      <c r="AT4220" t="str">
        <f t="shared" si="558"/>
        <v>9791137601314</v>
      </c>
      <c r="AV4220" t="str">
        <f t="shared" si="554"/>
        <v>판타지 웹소설 &gt; 퓨전 판타지</v>
      </c>
    </row>
    <row r="4221" spans="1:48" x14ac:dyDescent="0.4">
      <c r="A4221">
        <v>2313016617</v>
      </c>
      <c r="B4221">
        <v>2313016646</v>
      </c>
      <c r="C4221" t="str">
        <f>T("올마스터가 된 비전서고 30화")</f>
        <v>올마스터가 된 비전서고 30화</v>
      </c>
      <c r="D4221" t="str">
        <f>T("30")</f>
        <v>30</v>
      </c>
      <c r="E4221" t="str">
        <f t="shared" si="555"/>
        <v>글면증</v>
      </c>
      <c r="H4221" t="str">
        <f t="shared" si="556"/>
        <v>스토리위즈</v>
      </c>
      <c r="I4221" t="str">
        <f t="shared" si="557"/>
        <v>올마스터가 된 비전서고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70</v>
      </c>
      <c r="AT4221" t="str">
        <f t="shared" si="558"/>
        <v>9791137601314</v>
      </c>
      <c r="AV4221" t="str">
        <f t="shared" si="554"/>
        <v>판타지 웹소설 &gt; 퓨전 판타지</v>
      </c>
    </row>
    <row r="4222" spans="1:48" x14ac:dyDescent="0.4">
      <c r="A4222">
        <v>2313016617</v>
      </c>
      <c r="B4222">
        <v>2313016647</v>
      </c>
      <c r="C4222" t="str">
        <f>T("올마스터가 된 비전서고 31화")</f>
        <v>올마스터가 된 비전서고 31화</v>
      </c>
      <c r="D4222" t="str">
        <f>T("31")</f>
        <v>31</v>
      </c>
      <c r="E4222" t="str">
        <f t="shared" si="555"/>
        <v>글면증</v>
      </c>
      <c r="H4222" t="str">
        <f t="shared" si="556"/>
        <v>스토리위즈</v>
      </c>
      <c r="I4222" t="str">
        <f t="shared" si="557"/>
        <v>올마스터가 된 비전서고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70</v>
      </c>
      <c r="AT4222" t="str">
        <f t="shared" si="558"/>
        <v>9791137601314</v>
      </c>
      <c r="AV4222" t="str">
        <f t="shared" si="554"/>
        <v>판타지 웹소설 &gt; 퓨전 판타지</v>
      </c>
    </row>
    <row r="4223" spans="1:48" x14ac:dyDescent="0.4">
      <c r="A4223">
        <v>2313016617</v>
      </c>
      <c r="B4223">
        <v>2313016648</v>
      </c>
      <c r="C4223" t="str">
        <f>T("올마스터가 된 비전서고 32화")</f>
        <v>올마스터가 된 비전서고 32화</v>
      </c>
      <c r="D4223" t="str">
        <f>T("32")</f>
        <v>32</v>
      </c>
      <c r="E4223" t="str">
        <f t="shared" si="555"/>
        <v>글면증</v>
      </c>
      <c r="H4223" t="str">
        <f t="shared" si="556"/>
        <v>스토리위즈</v>
      </c>
      <c r="I4223" t="str">
        <f t="shared" si="557"/>
        <v>올마스터가 된 비전서고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70</v>
      </c>
      <c r="AT4223" t="str">
        <f t="shared" si="558"/>
        <v>9791137601314</v>
      </c>
      <c r="AV4223" t="str">
        <f t="shared" si="554"/>
        <v>판타지 웹소설 &gt; 퓨전 판타지</v>
      </c>
    </row>
    <row r="4224" spans="1:48" x14ac:dyDescent="0.4">
      <c r="A4224">
        <v>2313016617</v>
      </c>
      <c r="B4224">
        <v>2313016649</v>
      </c>
      <c r="C4224" t="str">
        <f>T("올마스터가 된 비전서고 33화")</f>
        <v>올마스터가 된 비전서고 33화</v>
      </c>
      <c r="D4224" t="str">
        <f>T("33")</f>
        <v>33</v>
      </c>
      <c r="E4224" t="str">
        <f t="shared" si="555"/>
        <v>글면증</v>
      </c>
      <c r="H4224" t="str">
        <f t="shared" si="556"/>
        <v>스토리위즈</v>
      </c>
      <c r="I4224" t="str">
        <f t="shared" si="557"/>
        <v>올마스터가 된 비전서고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70</v>
      </c>
      <c r="AT4224" t="str">
        <f t="shared" si="558"/>
        <v>9791137601314</v>
      </c>
      <c r="AV4224" t="str">
        <f t="shared" si="554"/>
        <v>판타지 웹소설 &gt; 퓨전 판타지</v>
      </c>
    </row>
    <row r="4225" spans="1:48" x14ac:dyDescent="0.4">
      <c r="A4225">
        <v>2313016617</v>
      </c>
      <c r="B4225">
        <v>2313016650</v>
      </c>
      <c r="C4225" t="str">
        <f>T("올마스터가 된 비전서고 34화")</f>
        <v>올마스터가 된 비전서고 34화</v>
      </c>
      <c r="D4225" t="str">
        <f>T("34")</f>
        <v>34</v>
      </c>
      <c r="E4225" t="str">
        <f t="shared" si="555"/>
        <v>글면증</v>
      </c>
      <c r="H4225" t="str">
        <f t="shared" si="556"/>
        <v>스토리위즈</v>
      </c>
      <c r="I4225" t="str">
        <f t="shared" si="557"/>
        <v>올마스터가 된 비전서고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70</v>
      </c>
      <c r="AT4225" t="str">
        <f t="shared" si="558"/>
        <v>9791137601314</v>
      </c>
      <c r="AV4225" t="str">
        <f t="shared" si="554"/>
        <v>판타지 웹소설 &gt; 퓨전 판타지</v>
      </c>
    </row>
    <row r="4226" spans="1:48" x14ac:dyDescent="0.4">
      <c r="A4226">
        <v>2313016617</v>
      </c>
      <c r="B4226">
        <v>2313016651</v>
      </c>
      <c r="C4226" t="str">
        <f>T("올마스터가 된 비전서고 35화")</f>
        <v>올마스터가 된 비전서고 35화</v>
      </c>
      <c r="D4226" t="str">
        <f>T("35")</f>
        <v>35</v>
      </c>
      <c r="E4226" t="str">
        <f t="shared" si="555"/>
        <v>글면증</v>
      </c>
      <c r="H4226" t="str">
        <f t="shared" si="556"/>
        <v>스토리위즈</v>
      </c>
      <c r="I4226" t="str">
        <f t="shared" si="557"/>
        <v>올마스터가 된 비전서고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70</v>
      </c>
      <c r="AT4226" t="str">
        <f t="shared" si="558"/>
        <v>9791137601314</v>
      </c>
      <c r="AV4226" t="str">
        <f t="shared" si="554"/>
        <v>판타지 웹소설 &gt; 퓨전 판타지</v>
      </c>
    </row>
    <row r="4227" spans="1:48" x14ac:dyDescent="0.4">
      <c r="A4227">
        <v>2313016617</v>
      </c>
      <c r="B4227">
        <v>2313016652</v>
      </c>
      <c r="C4227" t="str">
        <f>T("올마스터가 된 비전서고 36화")</f>
        <v>올마스터가 된 비전서고 36화</v>
      </c>
      <c r="D4227" t="str">
        <f>T("36")</f>
        <v>36</v>
      </c>
      <c r="E4227" t="str">
        <f t="shared" si="555"/>
        <v>글면증</v>
      </c>
      <c r="H4227" t="str">
        <f t="shared" si="556"/>
        <v>스토리위즈</v>
      </c>
      <c r="I4227" t="str">
        <f t="shared" si="557"/>
        <v>올마스터가 된 비전서고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70</v>
      </c>
      <c r="AT4227" t="str">
        <f t="shared" si="558"/>
        <v>9791137601314</v>
      </c>
      <c r="AV4227" t="str">
        <f t="shared" si="554"/>
        <v>판타지 웹소설 &gt; 퓨전 판타지</v>
      </c>
    </row>
    <row r="4228" spans="1:48" x14ac:dyDescent="0.4">
      <c r="A4228">
        <v>2313016617</v>
      </c>
      <c r="B4228">
        <v>2313016653</v>
      </c>
      <c r="C4228" t="str">
        <f>T("올마스터가 된 비전서고 37화")</f>
        <v>올마스터가 된 비전서고 37화</v>
      </c>
      <c r="D4228" t="str">
        <f>T("37")</f>
        <v>37</v>
      </c>
      <c r="E4228" t="str">
        <f t="shared" si="555"/>
        <v>글면증</v>
      </c>
      <c r="H4228" t="str">
        <f t="shared" si="556"/>
        <v>스토리위즈</v>
      </c>
      <c r="I4228" t="str">
        <f t="shared" si="557"/>
        <v>올마스터가 된 비전서고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70</v>
      </c>
      <c r="AT4228" t="str">
        <f t="shared" si="558"/>
        <v>9791137601314</v>
      </c>
      <c r="AV4228" t="str">
        <f t="shared" si="554"/>
        <v>판타지 웹소설 &gt; 퓨전 판타지</v>
      </c>
    </row>
    <row r="4229" spans="1:48" x14ac:dyDescent="0.4">
      <c r="A4229">
        <v>2313016617</v>
      </c>
      <c r="B4229">
        <v>2313016654</v>
      </c>
      <c r="C4229" t="str">
        <f>T("올마스터가 된 비전서고 38화")</f>
        <v>올마스터가 된 비전서고 38화</v>
      </c>
      <c r="D4229" t="str">
        <f>T("38")</f>
        <v>38</v>
      </c>
      <c r="E4229" t="str">
        <f t="shared" si="555"/>
        <v>글면증</v>
      </c>
      <c r="H4229" t="str">
        <f t="shared" si="556"/>
        <v>스토리위즈</v>
      </c>
      <c r="I4229" t="str">
        <f t="shared" si="557"/>
        <v>올마스터가 된 비전서고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70</v>
      </c>
      <c r="AT4229" t="str">
        <f t="shared" si="558"/>
        <v>9791137601314</v>
      </c>
      <c r="AV4229" t="str">
        <f t="shared" si="554"/>
        <v>판타지 웹소설 &gt; 퓨전 판타지</v>
      </c>
    </row>
    <row r="4230" spans="1:48" x14ac:dyDescent="0.4">
      <c r="A4230">
        <v>2313016617</v>
      </c>
      <c r="B4230">
        <v>2313016655</v>
      </c>
      <c r="C4230" t="str">
        <f>T("올마스터가 된 비전서고 39화")</f>
        <v>올마스터가 된 비전서고 39화</v>
      </c>
      <c r="D4230" t="str">
        <f>T("39")</f>
        <v>39</v>
      </c>
      <c r="E4230" t="str">
        <f t="shared" si="555"/>
        <v>글면증</v>
      </c>
      <c r="H4230" t="str">
        <f t="shared" si="556"/>
        <v>스토리위즈</v>
      </c>
      <c r="I4230" t="str">
        <f t="shared" si="557"/>
        <v>올마스터가 된 비전서고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70</v>
      </c>
      <c r="AT4230" t="str">
        <f t="shared" si="558"/>
        <v>9791137601314</v>
      </c>
      <c r="AV4230" t="str">
        <f t="shared" si="554"/>
        <v>판타지 웹소설 &gt; 퓨전 판타지</v>
      </c>
    </row>
    <row r="4231" spans="1:48" x14ac:dyDescent="0.4">
      <c r="A4231">
        <v>2313016617</v>
      </c>
      <c r="B4231">
        <v>2313016656</v>
      </c>
      <c r="C4231" t="str">
        <f>T("올마스터가 된 비전서고 40화")</f>
        <v>올마스터가 된 비전서고 40화</v>
      </c>
      <c r="D4231" t="str">
        <f>T("40")</f>
        <v>40</v>
      </c>
      <c r="E4231" t="str">
        <f t="shared" si="555"/>
        <v>글면증</v>
      </c>
      <c r="H4231" t="str">
        <f t="shared" si="556"/>
        <v>스토리위즈</v>
      </c>
      <c r="I4231" t="str">
        <f t="shared" si="557"/>
        <v>올마스터가 된 비전서고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70</v>
      </c>
      <c r="AT4231" t="str">
        <f t="shared" si="558"/>
        <v>9791137601314</v>
      </c>
      <c r="AV4231" t="str">
        <f t="shared" si="554"/>
        <v>판타지 웹소설 &gt; 퓨전 판타지</v>
      </c>
    </row>
    <row r="4232" spans="1:48" x14ac:dyDescent="0.4">
      <c r="A4232">
        <v>2313016617</v>
      </c>
      <c r="B4232">
        <v>2313016657</v>
      </c>
      <c r="C4232" t="str">
        <f>T("올마스터가 된 비전서고 41화")</f>
        <v>올마스터가 된 비전서고 41화</v>
      </c>
      <c r="D4232" t="str">
        <f>T("41")</f>
        <v>41</v>
      </c>
      <c r="E4232" t="str">
        <f t="shared" si="555"/>
        <v>글면증</v>
      </c>
      <c r="H4232" t="str">
        <f t="shared" si="556"/>
        <v>스토리위즈</v>
      </c>
      <c r="I4232" t="str">
        <f t="shared" si="557"/>
        <v>올마스터가 된 비전서고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70</v>
      </c>
      <c r="AT4232" t="str">
        <f t="shared" si="558"/>
        <v>9791137601314</v>
      </c>
      <c r="AV4232" t="str">
        <f t="shared" si="554"/>
        <v>판타지 웹소설 &gt; 퓨전 판타지</v>
      </c>
    </row>
    <row r="4233" spans="1:48" x14ac:dyDescent="0.4">
      <c r="A4233">
        <v>2313016617</v>
      </c>
      <c r="B4233">
        <v>2313016658</v>
      </c>
      <c r="C4233" t="str">
        <f>T("올마스터가 된 비전서고 42화")</f>
        <v>올마스터가 된 비전서고 42화</v>
      </c>
      <c r="D4233" t="str">
        <f>T("42")</f>
        <v>42</v>
      </c>
      <c r="E4233" t="str">
        <f t="shared" si="555"/>
        <v>글면증</v>
      </c>
      <c r="H4233" t="str">
        <f t="shared" si="556"/>
        <v>스토리위즈</v>
      </c>
      <c r="I4233" t="str">
        <f t="shared" si="557"/>
        <v>올마스터가 된 비전서고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70</v>
      </c>
      <c r="AT4233" t="str">
        <f t="shared" si="558"/>
        <v>9791137601314</v>
      </c>
      <c r="AV4233" t="str">
        <f t="shared" si="554"/>
        <v>판타지 웹소설 &gt; 퓨전 판타지</v>
      </c>
    </row>
    <row r="4234" spans="1:48" x14ac:dyDescent="0.4">
      <c r="A4234">
        <v>2313016617</v>
      </c>
      <c r="B4234">
        <v>2313016659</v>
      </c>
      <c r="C4234" t="str">
        <f>T("올마스터가 된 비전서고 43화")</f>
        <v>올마스터가 된 비전서고 43화</v>
      </c>
      <c r="D4234" t="str">
        <f>T("43")</f>
        <v>43</v>
      </c>
      <c r="E4234" t="str">
        <f t="shared" si="555"/>
        <v>글면증</v>
      </c>
      <c r="H4234" t="str">
        <f t="shared" si="556"/>
        <v>스토리위즈</v>
      </c>
      <c r="I4234" t="str">
        <f t="shared" si="557"/>
        <v>올마스터가 된 비전서고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70</v>
      </c>
      <c r="AT4234" t="str">
        <f t="shared" si="558"/>
        <v>9791137601314</v>
      </c>
      <c r="AV4234" t="str">
        <f t="shared" si="554"/>
        <v>판타지 웹소설 &gt; 퓨전 판타지</v>
      </c>
    </row>
    <row r="4235" spans="1:48" x14ac:dyDescent="0.4">
      <c r="A4235">
        <v>2313016617</v>
      </c>
      <c r="B4235">
        <v>2313016660</v>
      </c>
      <c r="C4235" t="str">
        <f>T("올마스터가 된 비전서고 44화")</f>
        <v>올마스터가 된 비전서고 44화</v>
      </c>
      <c r="D4235" t="str">
        <f>T("44")</f>
        <v>44</v>
      </c>
      <c r="E4235" t="str">
        <f t="shared" si="555"/>
        <v>글면증</v>
      </c>
      <c r="H4235" t="str">
        <f t="shared" si="556"/>
        <v>스토리위즈</v>
      </c>
      <c r="I4235" t="str">
        <f t="shared" si="557"/>
        <v>올마스터가 된 비전서고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70</v>
      </c>
      <c r="AT4235" t="str">
        <f t="shared" si="558"/>
        <v>9791137601314</v>
      </c>
      <c r="AV4235" t="str">
        <f t="shared" si="554"/>
        <v>판타지 웹소설 &gt; 퓨전 판타지</v>
      </c>
    </row>
    <row r="4236" spans="1:48" x14ac:dyDescent="0.4">
      <c r="A4236">
        <v>2313016617</v>
      </c>
      <c r="B4236">
        <v>2313016661</v>
      </c>
      <c r="C4236" t="str">
        <f>T("올마스터가 된 비전서고 45화")</f>
        <v>올마스터가 된 비전서고 45화</v>
      </c>
      <c r="D4236" t="str">
        <f>T("45")</f>
        <v>45</v>
      </c>
      <c r="E4236" t="str">
        <f t="shared" si="555"/>
        <v>글면증</v>
      </c>
      <c r="H4236" t="str">
        <f t="shared" si="556"/>
        <v>스토리위즈</v>
      </c>
      <c r="I4236" t="str">
        <f t="shared" si="557"/>
        <v>올마스터가 된 비전서고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70</v>
      </c>
      <c r="AT4236" t="str">
        <f t="shared" si="558"/>
        <v>9791137601314</v>
      </c>
      <c r="AV4236" t="str">
        <f t="shared" si="554"/>
        <v>판타지 웹소설 &gt; 퓨전 판타지</v>
      </c>
    </row>
    <row r="4237" spans="1:48" x14ac:dyDescent="0.4">
      <c r="A4237">
        <v>2313016617</v>
      </c>
      <c r="B4237">
        <v>2313016662</v>
      </c>
      <c r="C4237" t="str">
        <f>T("올마스터가 된 비전서고 46화")</f>
        <v>올마스터가 된 비전서고 46화</v>
      </c>
      <c r="D4237" t="str">
        <f>T("46")</f>
        <v>46</v>
      </c>
      <c r="E4237" t="str">
        <f t="shared" si="555"/>
        <v>글면증</v>
      </c>
      <c r="H4237" t="str">
        <f t="shared" si="556"/>
        <v>스토리위즈</v>
      </c>
      <c r="I4237" t="str">
        <f t="shared" si="557"/>
        <v>올마스터가 된 비전서고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70</v>
      </c>
      <c r="AT4237" t="str">
        <f t="shared" si="558"/>
        <v>9791137601314</v>
      </c>
      <c r="AV4237" t="str">
        <f t="shared" si="554"/>
        <v>판타지 웹소설 &gt; 퓨전 판타지</v>
      </c>
    </row>
    <row r="4238" spans="1:48" x14ac:dyDescent="0.4">
      <c r="A4238">
        <v>2313016617</v>
      </c>
      <c r="B4238">
        <v>2313016663</v>
      </c>
      <c r="C4238" t="str">
        <f>T("올마스터가 된 비전서고 47화")</f>
        <v>올마스터가 된 비전서고 47화</v>
      </c>
      <c r="D4238" t="str">
        <f>T("47")</f>
        <v>47</v>
      </c>
      <c r="E4238" t="str">
        <f t="shared" si="555"/>
        <v>글면증</v>
      </c>
      <c r="H4238" t="str">
        <f t="shared" si="556"/>
        <v>스토리위즈</v>
      </c>
      <c r="I4238" t="str">
        <f t="shared" si="557"/>
        <v>올마스터가 된 비전서고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70</v>
      </c>
      <c r="AT4238" t="str">
        <f t="shared" si="558"/>
        <v>9791137601314</v>
      </c>
      <c r="AV4238" t="str">
        <f t="shared" si="554"/>
        <v>판타지 웹소설 &gt; 퓨전 판타지</v>
      </c>
    </row>
    <row r="4239" spans="1:48" x14ac:dyDescent="0.4">
      <c r="A4239">
        <v>2313016617</v>
      </c>
      <c r="B4239">
        <v>2313016664</v>
      </c>
      <c r="C4239" t="str">
        <f>T("올마스터가 된 비전서고 48화")</f>
        <v>올마스터가 된 비전서고 48화</v>
      </c>
      <c r="D4239" t="str">
        <f>T("48")</f>
        <v>48</v>
      </c>
      <c r="E4239" t="str">
        <f t="shared" si="555"/>
        <v>글면증</v>
      </c>
      <c r="H4239" t="str">
        <f t="shared" si="556"/>
        <v>스토리위즈</v>
      </c>
      <c r="I4239" t="str">
        <f t="shared" si="557"/>
        <v>올마스터가 된 비전서고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70</v>
      </c>
      <c r="AT4239" t="str">
        <f t="shared" si="558"/>
        <v>9791137601314</v>
      </c>
      <c r="AV4239" t="str">
        <f t="shared" si="554"/>
        <v>판타지 웹소설 &gt; 퓨전 판타지</v>
      </c>
    </row>
    <row r="4240" spans="1:48" x14ac:dyDescent="0.4">
      <c r="A4240">
        <v>2313016617</v>
      </c>
      <c r="B4240">
        <v>2313016665</v>
      </c>
      <c r="C4240" t="str">
        <f>T("올마스터가 된 비전서고 49화")</f>
        <v>올마스터가 된 비전서고 49화</v>
      </c>
      <c r="D4240" t="str">
        <f>T("49")</f>
        <v>49</v>
      </c>
      <c r="E4240" t="str">
        <f t="shared" si="555"/>
        <v>글면증</v>
      </c>
      <c r="H4240" t="str">
        <f t="shared" si="556"/>
        <v>스토리위즈</v>
      </c>
      <c r="I4240" t="str">
        <f t="shared" si="557"/>
        <v>올마스터가 된 비전서고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70</v>
      </c>
      <c r="AT4240" t="str">
        <f t="shared" si="558"/>
        <v>9791137601314</v>
      </c>
      <c r="AV4240" t="str">
        <f t="shared" si="554"/>
        <v>판타지 웹소설 &gt; 퓨전 판타지</v>
      </c>
    </row>
    <row r="4241" spans="1:48" x14ac:dyDescent="0.4">
      <c r="A4241">
        <v>2313016617</v>
      </c>
      <c r="B4241">
        <v>2313016669</v>
      </c>
      <c r="C4241" t="str">
        <f>T("올마스터가 된 비전서고 53화")</f>
        <v>올마스터가 된 비전서고 53화</v>
      </c>
      <c r="D4241" t="str">
        <f>T("53")</f>
        <v>53</v>
      </c>
      <c r="E4241" t="str">
        <f t="shared" si="555"/>
        <v>글면증</v>
      </c>
      <c r="H4241" t="str">
        <f t="shared" si="556"/>
        <v>스토리위즈</v>
      </c>
      <c r="I4241" t="str">
        <f t="shared" si="557"/>
        <v>올마스터가 된 비전서고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70</v>
      </c>
      <c r="AT4241" t="str">
        <f t="shared" si="558"/>
        <v>9791137601314</v>
      </c>
      <c r="AV4241" t="str">
        <f t="shared" ref="AV4241:AV4304" si="559">T("판타지 웹소설 &gt; 퓨전 판타지")</f>
        <v>판타지 웹소설 &gt; 퓨전 판타지</v>
      </c>
    </row>
    <row r="4242" spans="1:48" x14ac:dyDescent="0.4">
      <c r="A4242">
        <v>2313016617</v>
      </c>
      <c r="B4242">
        <v>2313016671</v>
      </c>
      <c r="C4242" t="str">
        <f>T("올마스터가 된 비전서고 55화")</f>
        <v>올마스터가 된 비전서고 55화</v>
      </c>
      <c r="D4242" t="str">
        <f>T("55")</f>
        <v>55</v>
      </c>
      <c r="E4242" t="str">
        <f t="shared" si="555"/>
        <v>글면증</v>
      </c>
      <c r="H4242" t="str">
        <f t="shared" si="556"/>
        <v>스토리위즈</v>
      </c>
      <c r="I4242" t="str">
        <f t="shared" si="557"/>
        <v>올마스터가 된 비전서고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70</v>
      </c>
      <c r="AT4242" t="str">
        <f t="shared" si="558"/>
        <v>9791137601314</v>
      </c>
      <c r="AV4242" t="str">
        <f t="shared" si="559"/>
        <v>판타지 웹소설 &gt; 퓨전 판타지</v>
      </c>
    </row>
    <row r="4243" spans="1:48" x14ac:dyDescent="0.4">
      <c r="A4243">
        <v>2313016617</v>
      </c>
      <c r="B4243">
        <v>2313016672</v>
      </c>
      <c r="C4243" t="str">
        <f>T("올마스터가 된 비전서고 56화")</f>
        <v>올마스터가 된 비전서고 56화</v>
      </c>
      <c r="D4243" t="str">
        <f>T("56")</f>
        <v>56</v>
      </c>
      <c r="E4243" t="str">
        <f t="shared" si="555"/>
        <v>글면증</v>
      </c>
      <c r="H4243" t="str">
        <f t="shared" si="556"/>
        <v>스토리위즈</v>
      </c>
      <c r="I4243" t="str">
        <f t="shared" si="557"/>
        <v>올마스터가 된 비전서고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70</v>
      </c>
      <c r="AT4243" t="str">
        <f t="shared" si="558"/>
        <v>9791137601314</v>
      </c>
      <c r="AV4243" t="str">
        <f t="shared" si="559"/>
        <v>판타지 웹소설 &gt; 퓨전 판타지</v>
      </c>
    </row>
    <row r="4244" spans="1:48" x14ac:dyDescent="0.4">
      <c r="A4244">
        <v>2313016617</v>
      </c>
      <c r="B4244">
        <v>2313016673</v>
      </c>
      <c r="C4244" t="str">
        <f>T("올마스터가 된 비전서고 57화")</f>
        <v>올마스터가 된 비전서고 57화</v>
      </c>
      <c r="D4244" t="str">
        <f>T("57")</f>
        <v>57</v>
      </c>
      <c r="E4244" t="str">
        <f t="shared" si="555"/>
        <v>글면증</v>
      </c>
      <c r="H4244" t="str">
        <f t="shared" si="556"/>
        <v>스토리위즈</v>
      </c>
      <c r="I4244" t="str">
        <f t="shared" si="557"/>
        <v>올마스터가 된 비전서고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70</v>
      </c>
      <c r="AT4244" t="str">
        <f t="shared" si="558"/>
        <v>9791137601314</v>
      </c>
      <c r="AV4244" t="str">
        <f t="shared" si="559"/>
        <v>판타지 웹소설 &gt; 퓨전 판타지</v>
      </c>
    </row>
    <row r="4245" spans="1:48" x14ac:dyDescent="0.4">
      <c r="A4245">
        <v>2313016617</v>
      </c>
      <c r="B4245">
        <v>2313016674</v>
      </c>
      <c r="C4245" t="str">
        <f>T("올마스터가 된 비전서고 58화")</f>
        <v>올마스터가 된 비전서고 58화</v>
      </c>
      <c r="D4245" t="str">
        <f>T("58")</f>
        <v>58</v>
      </c>
      <c r="E4245" t="str">
        <f t="shared" si="555"/>
        <v>글면증</v>
      </c>
      <c r="H4245" t="str">
        <f t="shared" si="556"/>
        <v>스토리위즈</v>
      </c>
      <c r="I4245" t="str">
        <f t="shared" si="557"/>
        <v>올마스터가 된 비전서고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70</v>
      </c>
      <c r="AT4245" t="str">
        <f t="shared" si="558"/>
        <v>9791137601314</v>
      </c>
      <c r="AV4245" t="str">
        <f t="shared" si="559"/>
        <v>판타지 웹소설 &gt; 퓨전 판타지</v>
      </c>
    </row>
    <row r="4246" spans="1:48" x14ac:dyDescent="0.4">
      <c r="A4246">
        <v>2313016617</v>
      </c>
      <c r="B4246">
        <v>2313016675</v>
      </c>
      <c r="C4246" t="str">
        <f>T("올마스터가 된 비전서고 59화")</f>
        <v>올마스터가 된 비전서고 59화</v>
      </c>
      <c r="D4246" t="str">
        <f>T("59")</f>
        <v>59</v>
      </c>
      <c r="E4246" t="str">
        <f t="shared" si="555"/>
        <v>글면증</v>
      </c>
      <c r="H4246" t="str">
        <f t="shared" si="556"/>
        <v>스토리위즈</v>
      </c>
      <c r="I4246" t="str">
        <f t="shared" si="557"/>
        <v>올마스터가 된 비전서고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70</v>
      </c>
      <c r="AT4246" t="str">
        <f t="shared" si="558"/>
        <v>9791137601314</v>
      </c>
      <c r="AV4246" t="str">
        <f t="shared" si="559"/>
        <v>판타지 웹소설 &gt; 퓨전 판타지</v>
      </c>
    </row>
    <row r="4247" spans="1:48" x14ac:dyDescent="0.4">
      <c r="A4247">
        <v>2313016617</v>
      </c>
      <c r="B4247">
        <v>2313016676</v>
      </c>
      <c r="C4247" t="str">
        <f>T("올마스터가 된 비전서고 60화")</f>
        <v>올마스터가 된 비전서고 60화</v>
      </c>
      <c r="D4247" t="str">
        <f>T("60")</f>
        <v>60</v>
      </c>
      <c r="E4247" t="str">
        <f t="shared" si="555"/>
        <v>글면증</v>
      </c>
      <c r="H4247" t="str">
        <f t="shared" si="556"/>
        <v>스토리위즈</v>
      </c>
      <c r="I4247" t="str">
        <f t="shared" si="557"/>
        <v>올마스터가 된 비전서고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70</v>
      </c>
      <c r="AT4247" t="str">
        <f t="shared" si="558"/>
        <v>9791137601314</v>
      </c>
      <c r="AV4247" t="str">
        <f t="shared" si="559"/>
        <v>판타지 웹소설 &gt; 퓨전 판타지</v>
      </c>
    </row>
    <row r="4248" spans="1:48" x14ac:dyDescent="0.4">
      <c r="A4248">
        <v>2313016617</v>
      </c>
      <c r="B4248">
        <v>2313016677</v>
      </c>
      <c r="C4248" t="str">
        <f>T("올마스터가 된 비전서고 61화")</f>
        <v>올마스터가 된 비전서고 61화</v>
      </c>
      <c r="D4248" t="str">
        <f>T("61")</f>
        <v>61</v>
      </c>
      <c r="E4248" t="str">
        <f t="shared" si="555"/>
        <v>글면증</v>
      </c>
      <c r="H4248" t="str">
        <f t="shared" si="556"/>
        <v>스토리위즈</v>
      </c>
      <c r="I4248" t="str">
        <f t="shared" si="557"/>
        <v>올마스터가 된 비전서고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70</v>
      </c>
      <c r="AT4248" t="str">
        <f t="shared" si="558"/>
        <v>9791137601314</v>
      </c>
      <c r="AV4248" t="str">
        <f t="shared" si="559"/>
        <v>판타지 웹소설 &gt; 퓨전 판타지</v>
      </c>
    </row>
    <row r="4249" spans="1:48" x14ac:dyDescent="0.4">
      <c r="A4249">
        <v>2313016617</v>
      </c>
      <c r="B4249">
        <v>2313016678</v>
      </c>
      <c r="C4249" t="str">
        <f>T("올마스터가 된 비전서고 62화")</f>
        <v>올마스터가 된 비전서고 62화</v>
      </c>
      <c r="D4249" t="str">
        <f>T("62")</f>
        <v>62</v>
      </c>
      <c r="E4249" t="str">
        <f t="shared" si="555"/>
        <v>글면증</v>
      </c>
      <c r="H4249" t="str">
        <f t="shared" si="556"/>
        <v>스토리위즈</v>
      </c>
      <c r="I4249" t="str">
        <f t="shared" si="557"/>
        <v>올마스터가 된 비전서고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70</v>
      </c>
      <c r="AT4249" t="str">
        <f t="shared" si="558"/>
        <v>9791137601314</v>
      </c>
      <c r="AV4249" t="str">
        <f t="shared" si="559"/>
        <v>판타지 웹소설 &gt; 퓨전 판타지</v>
      </c>
    </row>
    <row r="4250" spans="1:48" x14ac:dyDescent="0.4">
      <c r="A4250">
        <v>2313016617</v>
      </c>
      <c r="B4250">
        <v>2313016679</v>
      </c>
      <c r="C4250" t="str">
        <f>T("올마스터가 된 비전서고 63화")</f>
        <v>올마스터가 된 비전서고 63화</v>
      </c>
      <c r="D4250" t="str">
        <f>T("63")</f>
        <v>63</v>
      </c>
      <c r="E4250" t="str">
        <f t="shared" si="555"/>
        <v>글면증</v>
      </c>
      <c r="H4250" t="str">
        <f t="shared" si="556"/>
        <v>스토리위즈</v>
      </c>
      <c r="I4250" t="str">
        <f t="shared" si="557"/>
        <v>올마스터가 된 비전서고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70</v>
      </c>
      <c r="AT4250" t="str">
        <f t="shared" si="558"/>
        <v>9791137601314</v>
      </c>
      <c r="AV4250" t="str">
        <f t="shared" si="559"/>
        <v>판타지 웹소설 &gt; 퓨전 판타지</v>
      </c>
    </row>
    <row r="4251" spans="1:48" x14ac:dyDescent="0.4">
      <c r="A4251">
        <v>2313016617</v>
      </c>
      <c r="B4251">
        <v>2313016680</v>
      </c>
      <c r="C4251" t="str">
        <f>T("올마스터가 된 비전서고 64화")</f>
        <v>올마스터가 된 비전서고 64화</v>
      </c>
      <c r="D4251" t="str">
        <f>T("64")</f>
        <v>64</v>
      </c>
      <c r="E4251" t="str">
        <f t="shared" si="555"/>
        <v>글면증</v>
      </c>
      <c r="H4251" t="str">
        <f t="shared" si="556"/>
        <v>스토리위즈</v>
      </c>
      <c r="I4251" t="str">
        <f t="shared" si="557"/>
        <v>올마스터가 된 비전서고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70</v>
      </c>
      <c r="AT4251" t="str">
        <f t="shared" si="558"/>
        <v>9791137601314</v>
      </c>
      <c r="AV4251" t="str">
        <f t="shared" si="559"/>
        <v>판타지 웹소설 &gt; 퓨전 판타지</v>
      </c>
    </row>
    <row r="4252" spans="1:48" x14ac:dyDescent="0.4">
      <c r="A4252">
        <v>2313016617</v>
      </c>
      <c r="B4252">
        <v>2313016681</v>
      </c>
      <c r="C4252" t="str">
        <f>T("올마스터가 된 비전서고 65화")</f>
        <v>올마스터가 된 비전서고 65화</v>
      </c>
      <c r="D4252" t="str">
        <f>T("65")</f>
        <v>65</v>
      </c>
      <c r="E4252" t="str">
        <f t="shared" si="555"/>
        <v>글면증</v>
      </c>
      <c r="H4252" t="str">
        <f t="shared" si="556"/>
        <v>스토리위즈</v>
      </c>
      <c r="I4252" t="str">
        <f t="shared" si="557"/>
        <v>올마스터가 된 비전서고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70</v>
      </c>
      <c r="AT4252" t="str">
        <f t="shared" si="558"/>
        <v>9791137601314</v>
      </c>
      <c r="AV4252" t="str">
        <f t="shared" si="559"/>
        <v>판타지 웹소설 &gt; 퓨전 판타지</v>
      </c>
    </row>
    <row r="4253" spans="1:48" x14ac:dyDescent="0.4">
      <c r="A4253">
        <v>2313016617</v>
      </c>
      <c r="B4253">
        <v>2313016682</v>
      </c>
      <c r="C4253" t="str">
        <f>T("올마스터가 된 비전서고 66화")</f>
        <v>올마스터가 된 비전서고 66화</v>
      </c>
      <c r="D4253" t="str">
        <f>T("66")</f>
        <v>66</v>
      </c>
      <c r="E4253" t="str">
        <f t="shared" si="555"/>
        <v>글면증</v>
      </c>
      <c r="H4253" t="str">
        <f t="shared" si="556"/>
        <v>스토리위즈</v>
      </c>
      <c r="I4253" t="str">
        <f t="shared" si="557"/>
        <v>올마스터가 된 비전서고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70</v>
      </c>
      <c r="AT4253" t="str">
        <f t="shared" si="558"/>
        <v>9791137601314</v>
      </c>
      <c r="AV4253" t="str">
        <f t="shared" si="559"/>
        <v>판타지 웹소설 &gt; 퓨전 판타지</v>
      </c>
    </row>
    <row r="4254" spans="1:48" x14ac:dyDescent="0.4">
      <c r="A4254">
        <v>2313016617</v>
      </c>
      <c r="B4254">
        <v>2313016683</v>
      </c>
      <c r="C4254" t="str">
        <f>T("올마스터가 된 비전서고 67화")</f>
        <v>올마스터가 된 비전서고 67화</v>
      </c>
      <c r="D4254" t="str">
        <f>T("67")</f>
        <v>67</v>
      </c>
      <c r="E4254" t="str">
        <f t="shared" si="555"/>
        <v>글면증</v>
      </c>
      <c r="H4254" t="str">
        <f t="shared" si="556"/>
        <v>스토리위즈</v>
      </c>
      <c r="I4254" t="str">
        <f t="shared" si="557"/>
        <v>올마스터가 된 비전서고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70</v>
      </c>
      <c r="AT4254" t="str">
        <f t="shared" si="558"/>
        <v>9791137601314</v>
      </c>
      <c r="AV4254" t="str">
        <f t="shared" si="559"/>
        <v>판타지 웹소설 &gt; 퓨전 판타지</v>
      </c>
    </row>
    <row r="4255" spans="1:48" x14ac:dyDescent="0.4">
      <c r="A4255">
        <v>2313016617</v>
      </c>
      <c r="B4255">
        <v>2313016684</v>
      </c>
      <c r="C4255" t="str">
        <f>T("올마스터가 된 비전서고 68화")</f>
        <v>올마스터가 된 비전서고 68화</v>
      </c>
      <c r="D4255" t="str">
        <f>T("68")</f>
        <v>68</v>
      </c>
      <c r="E4255" t="str">
        <f t="shared" si="555"/>
        <v>글면증</v>
      </c>
      <c r="H4255" t="str">
        <f t="shared" si="556"/>
        <v>스토리위즈</v>
      </c>
      <c r="I4255" t="str">
        <f t="shared" si="557"/>
        <v>올마스터가 된 비전서고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70</v>
      </c>
      <c r="AT4255" t="str">
        <f t="shared" si="558"/>
        <v>9791137601314</v>
      </c>
      <c r="AV4255" t="str">
        <f t="shared" si="559"/>
        <v>판타지 웹소설 &gt; 퓨전 판타지</v>
      </c>
    </row>
    <row r="4256" spans="1:48" x14ac:dyDescent="0.4">
      <c r="A4256">
        <v>2313016617</v>
      </c>
      <c r="B4256">
        <v>2313016685</v>
      </c>
      <c r="C4256" t="str">
        <f>T("올마스터가 된 비전서고 69화")</f>
        <v>올마스터가 된 비전서고 69화</v>
      </c>
      <c r="D4256" t="str">
        <f>T("69")</f>
        <v>69</v>
      </c>
      <c r="E4256" t="str">
        <f t="shared" si="555"/>
        <v>글면증</v>
      </c>
      <c r="H4256" t="str">
        <f t="shared" si="556"/>
        <v>스토리위즈</v>
      </c>
      <c r="I4256" t="str">
        <f t="shared" si="557"/>
        <v>올마스터가 된 비전서고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70</v>
      </c>
      <c r="AT4256" t="str">
        <f t="shared" si="558"/>
        <v>9791137601314</v>
      </c>
      <c r="AV4256" t="str">
        <f t="shared" si="559"/>
        <v>판타지 웹소설 &gt; 퓨전 판타지</v>
      </c>
    </row>
    <row r="4257" spans="1:48" x14ac:dyDescent="0.4">
      <c r="A4257">
        <v>2313016617</v>
      </c>
      <c r="B4257">
        <v>2313016686</v>
      </c>
      <c r="C4257" t="str">
        <f>T("올마스터가 된 비전서고 70화")</f>
        <v>올마스터가 된 비전서고 70화</v>
      </c>
      <c r="D4257" t="str">
        <f>T("70")</f>
        <v>70</v>
      </c>
      <c r="E4257" t="str">
        <f t="shared" si="555"/>
        <v>글면증</v>
      </c>
      <c r="H4257" t="str">
        <f t="shared" si="556"/>
        <v>스토리위즈</v>
      </c>
      <c r="I4257" t="str">
        <f t="shared" si="557"/>
        <v>올마스터가 된 비전서고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70</v>
      </c>
      <c r="AT4257" t="str">
        <f t="shared" si="558"/>
        <v>9791137601314</v>
      </c>
      <c r="AV4257" t="str">
        <f t="shared" si="559"/>
        <v>판타지 웹소설 &gt; 퓨전 판타지</v>
      </c>
    </row>
    <row r="4258" spans="1:48" x14ac:dyDescent="0.4">
      <c r="A4258">
        <v>2313016617</v>
      </c>
      <c r="B4258">
        <v>2313016687</v>
      </c>
      <c r="C4258" t="str">
        <f>T("올마스터가 된 비전서고 71화")</f>
        <v>올마스터가 된 비전서고 71화</v>
      </c>
      <c r="D4258" t="str">
        <f>T("71")</f>
        <v>71</v>
      </c>
      <c r="E4258" t="str">
        <f t="shared" si="555"/>
        <v>글면증</v>
      </c>
      <c r="H4258" t="str">
        <f t="shared" si="556"/>
        <v>스토리위즈</v>
      </c>
      <c r="I4258" t="str">
        <f t="shared" si="557"/>
        <v>올마스터가 된 비전서고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70</v>
      </c>
      <c r="AT4258" t="str">
        <f t="shared" si="558"/>
        <v>9791137601314</v>
      </c>
      <c r="AV4258" t="str">
        <f t="shared" si="559"/>
        <v>판타지 웹소설 &gt; 퓨전 판타지</v>
      </c>
    </row>
    <row r="4259" spans="1:48" x14ac:dyDescent="0.4">
      <c r="A4259">
        <v>2313016617</v>
      </c>
      <c r="B4259">
        <v>2313016688</v>
      </c>
      <c r="C4259" t="str">
        <f>T("올마스터가 된 비전서고 72화")</f>
        <v>올마스터가 된 비전서고 72화</v>
      </c>
      <c r="D4259" t="str">
        <f>T("72")</f>
        <v>72</v>
      </c>
      <c r="E4259" t="str">
        <f t="shared" si="555"/>
        <v>글면증</v>
      </c>
      <c r="H4259" t="str">
        <f t="shared" si="556"/>
        <v>스토리위즈</v>
      </c>
      <c r="I4259" t="str">
        <f t="shared" si="557"/>
        <v>올마스터가 된 비전서고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70</v>
      </c>
      <c r="AT4259" t="str">
        <f t="shared" si="558"/>
        <v>9791137601314</v>
      </c>
      <c r="AV4259" t="str">
        <f t="shared" si="559"/>
        <v>판타지 웹소설 &gt; 퓨전 판타지</v>
      </c>
    </row>
    <row r="4260" spans="1:48" x14ac:dyDescent="0.4">
      <c r="A4260">
        <v>2313016617</v>
      </c>
      <c r="B4260">
        <v>2313016689</v>
      </c>
      <c r="C4260" t="str">
        <f>T("올마스터가 된 비전서고 73화")</f>
        <v>올마스터가 된 비전서고 73화</v>
      </c>
      <c r="D4260" t="str">
        <f>T("73")</f>
        <v>73</v>
      </c>
      <c r="E4260" t="str">
        <f t="shared" si="555"/>
        <v>글면증</v>
      </c>
      <c r="H4260" t="str">
        <f t="shared" si="556"/>
        <v>스토리위즈</v>
      </c>
      <c r="I4260" t="str">
        <f t="shared" si="557"/>
        <v>올마스터가 된 비전서고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70</v>
      </c>
      <c r="AT4260" t="str">
        <f t="shared" si="558"/>
        <v>9791137601314</v>
      </c>
      <c r="AV4260" t="str">
        <f t="shared" si="559"/>
        <v>판타지 웹소설 &gt; 퓨전 판타지</v>
      </c>
    </row>
    <row r="4261" spans="1:48" x14ac:dyDescent="0.4">
      <c r="A4261">
        <v>2313016617</v>
      </c>
      <c r="B4261">
        <v>2313016690</v>
      </c>
      <c r="C4261" t="str">
        <f>T("올마스터가 된 비전서고 74화")</f>
        <v>올마스터가 된 비전서고 74화</v>
      </c>
      <c r="D4261" t="str">
        <f>T("74")</f>
        <v>74</v>
      </c>
      <c r="E4261" t="str">
        <f t="shared" si="555"/>
        <v>글면증</v>
      </c>
      <c r="H4261" t="str">
        <f t="shared" si="556"/>
        <v>스토리위즈</v>
      </c>
      <c r="I4261" t="str">
        <f t="shared" si="557"/>
        <v>올마스터가 된 비전서고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70</v>
      </c>
      <c r="AT4261" t="str">
        <f t="shared" si="558"/>
        <v>9791137601314</v>
      </c>
      <c r="AV4261" t="str">
        <f t="shared" si="559"/>
        <v>판타지 웹소설 &gt; 퓨전 판타지</v>
      </c>
    </row>
    <row r="4262" spans="1:48" x14ac:dyDescent="0.4">
      <c r="A4262">
        <v>2313016617</v>
      </c>
      <c r="B4262">
        <v>2313016691</v>
      </c>
      <c r="C4262" t="str">
        <f>T("올마스터가 된 비전서고 75화")</f>
        <v>올마스터가 된 비전서고 75화</v>
      </c>
      <c r="D4262" t="str">
        <f>T("75")</f>
        <v>75</v>
      </c>
      <c r="E4262" t="str">
        <f t="shared" si="555"/>
        <v>글면증</v>
      </c>
      <c r="H4262" t="str">
        <f t="shared" si="556"/>
        <v>스토리위즈</v>
      </c>
      <c r="I4262" t="str">
        <f t="shared" si="557"/>
        <v>올마스터가 된 비전서고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70</v>
      </c>
      <c r="AT4262" t="str">
        <f t="shared" si="558"/>
        <v>9791137601314</v>
      </c>
      <c r="AV4262" t="str">
        <f t="shared" si="559"/>
        <v>판타지 웹소설 &gt; 퓨전 판타지</v>
      </c>
    </row>
    <row r="4263" spans="1:48" x14ac:dyDescent="0.4">
      <c r="A4263">
        <v>2313016617</v>
      </c>
      <c r="B4263">
        <v>2313016692</v>
      </c>
      <c r="C4263" t="str">
        <f>T("올마스터가 된 비전서고 76화")</f>
        <v>올마스터가 된 비전서고 76화</v>
      </c>
      <c r="D4263" t="str">
        <f>T("76")</f>
        <v>76</v>
      </c>
      <c r="E4263" t="str">
        <f t="shared" si="555"/>
        <v>글면증</v>
      </c>
      <c r="H4263" t="str">
        <f t="shared" si="556"/>
        <v>스토리위즈</v>
      </c>
      <c r="I4263" t="str">
        <f t="shared" si="557"/>
        <v>올마스터가 된 비전서고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70</v>
      </c>
      <c r="AT4263" t="str">
        <f t="shared" si="558"/>
        <v>9791137601314</v>
      </c>
      <c r="AV4263" t="str">
        <f t="shared" si="559"/>
        <v>판타지 웹소설 &gt; 퓨전 판타지</v>
      </c>
    </row>
    <row r="4264" spans="1:48" x14ac:dyDescent="0.4">
      <c r="A4264">
        <v>2313016617</v>
      </c>
      <c r="B4264">
        <v>2313016693</v>
      </c>
      <c r="C4264" t="str">
        <f>T("올마스터가 된 비전서고 77화")</f>
        <v>올마스터가 된 비전서고 77화</v>
      </c>
      <c r="D4264" t="str">
        <f>T("77")</f>
        <v>77</v>
      </c>
      <c r="E4264" t="str">
        <f t="shared" si="555"/>
        <v>글면증</v>
      </c>
      <c r="H4264" t="str">
        <f t="shared" si="556"/>
        <v>스토리위즈</v>
      </c>
      <c r="I4264" t="str">
        <f t="shared" si="557"/>
        <v>올마스터가 된 비전서고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70</v>
      </c>
      <c r="AT4264" t="str">
        <f t="shared" si="558"/>
        <v>9791137601314</v>
      </c>
      <c r="AV4264" t="str">
        <f t="shared" si="559"/>
        <v>판타지 웹소설 &gt; 퓨전 판타지</v>
      </c>
    </row>
    <row r="4265" spans="1:48" x14ac:dyDescent="0.4">
      <c r="A4265">
        <v>2313016617</v>
      </c>
      <c r="B4265">
        <v>2313016694</v>
      </c>
      <c r="C4265" t="str">
        <f>T("올마스터가 된 비전서고 78화")</f>
        <v>올마스터가 된 비전서고 78화</v>
      </c>
      <c r="D4265" t="str">
        <f>T("78")</f>
        <v>78</v>
      </c>
      <c r="E4265" t="str">
        <f t="shared" si="555"/>
        <v>글면증</v>
      </c>
      <c r="H4265" t="str">
        <f t="shared" si="556"/>
        <v>스토리위즈</v>
      </c>
      <c r="I4265" t="str">
        <f t="shared" si="557"/>
        <v>올마스터가 된 비전서고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70</v>
      </c>
      <c r="AT4265" t="str">
        <f t="shared" si="558"/>
        <v>9791137601314</v>
      </c>
      <c r="AV4265" t="str">
        <f t="shared" si="559"/>
        <v>판타지 웹소설 &gt; 퓨전 판타지</v>
      </c>
    </row>
    <row r="4266" spans="1:48" x14ac:dyDescent="0.4">
      <c r="A4266">
        <v>2313016617</v>
      </c>
      <c r="B4266">
        <v>2313016695</v>
      </c>
      <c r="C4266" t="str">
        <f>T("올마스터가 된 비전서고 79화")</f>
        <v>올마스터가 된 비전서고 79화</v>
      </c>
      <c r="D4266" t="str">
        <f>T("79")</f>
        <v>79</v>
      </c>
      <c r="E4266" t="str">
        <f t="shared" si="555"/>
        <v>글면증</v>
      </c>
      <c r="H4266" t="str">
        <f t="shared" si="556"/>
        <v>스토리위즈</v>
      </c>
      <c r="I4266" t="str">
        <f t="shared" si="557"/>
        <v>올마스터가 된 비전서고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70</v>
      </c>
      <c r="AT4266" t="str">
        <f t="shared" si="558"/>
        <v>9791137601314</v>
      </c>
      <c r="AV4266" t="str">
        <f t="shared" si="559"/>
        <v>판타지 웹소설 &gt; 퓨전 판타지</v>
      </c>
    </row>
    <row r="4267" spans="1:48" x14ac:dyDescent="0.4">
      <c r="A4267">
        <v>2313016617</v>
      </c>
      <c r="B4267">
        <v>2313016696</v>
      </c>
      <c r="C4267" t="str">
        <f>T("올마스터가 된 비전서고 80화")</f>
        <v>올마스터가 된 비전서고 80화</v>
      </c>
      <c r="D4267" t="str">
        <f>T("80")</f>
        <v>80</v>
      </c>
      <c r="E4267" t="str">
        <f t="shared" si="555"/>
        <v>글면증</v>
      </c>
      <c r="H4267" t="str">
        <f t="shared" si="556"/>
        <v>스토리위즈</v>
      </c>
      <c r="I4267" t="str">
        <f t="shared" si="557"/>
        <v>올마스터가 된 비전서고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70</v>
      </c>
      <c r="AT4267" t="str">
        <f t="shared" si="558"/>
        <v>9791137601314</v>
      </c>
      <c r="AV4267" t="str">
        <f t="shared" si="559"/>
        <v>판타지 웹소설 &gt; 퓨전 판타지</v>
      </c>
    </row>
    <row r="4268" spans="1:48" x14ac:dyDescent="0.4">
      <c r="A4268">
        <v>2313016617</v>
      </c>
      <c r="B4268">
        <v>2313016697</v>
      </c>
      <c r="C4268" t="str">
        <f>T("올마스터가 된 비전서고 81화")</f>
        <v>올마스터가 된 비전서고 81화</v>
      </c>
      <c r="D4268" t="str">
        <f>T("81")</f>
        <v>81</v>
      </c>
      <c r="E4268" t="str">
        <f t="shared" si="555"/>
        <v>글면증</v>
      </c>
      <c r="H4268" t="str">
        <f t="shared" si="556"/>
        <v>스토리위즈</v>
      </c>
      <c r="I4268" t="str">
        <f t="shared" si="557"/>
        <v>올마스터가 된 비전서고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70</v>
      </c>
      <c r="AT4268" t="str">
        <f t="shared" si="558"/>
        <v>9791137601314</v>
      </c>
      <c r="AV4268" t="str">
        <f t="shared" si="559"/>
        <v>판타지 웹소설 &gt; 퓨전 판타지</v>
      </c>
    </row>
    <row r="4269" spans="1:48" x14ac:dyDescent="0.4">
      <c r="A4269">
        <v>2313016617</v>
      </c>
      <c r="B4269">
        <v>2313016712</v>
      </c>
      <c r="C4269" t="str">
        <f>T("올마스터가 된 비전서고 96화")</f>
        <v>올마스터가 된 비전서고 96화</v>
      </c>
      <c r="D4269" t="str">
        <f>T("96")</f>
        <v>96</v>
      </c>
      <c r="E4269" t="str">
        <f t="shared" si="555"/>
        <v>글면증</v>
      </c>
      <c r="H4269" t="str">
        <f t="shared" si="556"/>
        <v>스토리위즈</v>
      </c>
      <c r="I4269" t="str">
        <f t="shared" si="557"/>
        <v>올마스터가 된 비전서고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70</v>
      </c>
      <c r="AT4269" t="str">
        <f t="shared" si="558"/>
        <v>9791137601314</v>
      </c>
      <c r="AV4269" t="str">
        <f t="shared" si="559"/>
        <v>판타지 웹소설 &gt; 퓨전 판타지</v>
      </c>
    </row>
    <row r="4270" spans="1:48" x14ac:dyDescent="0.4">
      <c r="A4270">
        <v>2313016617</v>
      </c>
      <c r="B4270">
        <v>2313016713</v>
      </c>
      <c r="C4270" t="str">
        <f>T("올마스터가 된 비전서고 97화")</f>
        <v>올마스터가 된 비전서고 97화</v>
      </c>
      <c r="D4270" t="str">
        <f>T("97")</f>
        <v>97</v>
      </c>
      <c r="E4270" t="str">
        <f t="shared" si="555"/>
        <v>글면증</v>
      </c>
      <c r="H4270" t="str">
        <f t="shared" si="556"/>
        <v>스토리위즈</v>
      </c>
      <c r="I4270" t="str">
        <f t="shared" si="557"/>
        <v>올마스터가 된 비전서고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70</v>
      </c>
      <c r="AT4270" t="str">
        <f t="shared" si="558"/>
        <v>9791137601314</v>
      </c>
      <c r="AV4270" t="str">
        <f t="shared" si="559"/>
        <v>판타지 웹소설 &gt; 퓨전 판타지</v>
      </c>
    </row>
    <row r="4271" spans="1:48" x14ac:dyDescent="0.4">
      <c r="A4271">
        <v>2313016617</v>
      </c>
      <c r="B4271">
        <v>2313016714</v>
      </c>
      <c r="C4271" t="str">
        <f>T("올마스터가 된 비전서고 98화")</f>
        <v>올마스터가 된 비전서고 98화</v>
      </c>
      <c r="D4271" t="str">
        <f>T("98")</f>
        <v>98</v>
      </c>
      <c r="E4271" t="str">
        <f t="shared" si="555"/>
        <v>글면증</v>
      </c>
      <c r="H4271" t="str">
        <f t="shared" si="556"/>
        <v>스토리위즈</v>
      </c>
      <c r="I4271" t="str">
        <f t="shared" si="557"/>
        <v>올마스터가 된 비전서고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70</v>
      </c>
      <c r="AT4271" t="str">
        <f t="shared" si="558"/>
        <v>9791137601314</v>
      </c>
      <c r="AV4271" t="str">
        <f t="shared" si="559"/>
        <v>판타지 웹소설 &gt; 퓨전 판타지</v>
      </c>
    </row>
    <row r="4272" spans="1:48" x14ac:dyDescent="0.4">
      <c r="A4272">
        <v>2313016617</v>
      </c>
      <c r="B4272">
        <v>2313016715</v>
      </c>
      <c r="C4272" t="str">
        <f>T("올마스터가 된 비전서고 99화")</f>
        <v>올마스터가 된 비전서고 99화</v>
      </c>
      <c r="D4272" t="str">
        <f>T("99")</f>
        <v>99</v>
      </c>
      <c r="E4272" t="str">
        <f t="shared" si="555"/>
        <v>글면증</v>
      </c>
      <c r="H4272" t="str">
        <f t="shared" si="556"/>
        <v>스토리위즈</v>
      </c>
      <c r="I4272" t="str">
        <f t="shared" si="557"/>
        <v>올마스터가 된 비전서고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70</v>
      </c>
      <c r="AT4272" t="str">
        <f t="shared" si="558"/>
        <v>9791137601314</v>
      </c>
      <c r="AV4272" t="str">
        <f t="shared" si="559"/>
        <v>판타지 웹소설 &gt; 퓨전 판타지</v>
      </c>
    </row>
    <row r="4273" spans="1:48" x14ac:dyDescent="0.4">
      <c r="A4273">
        <v>2313016617</v>
      </c>
      <c r="B4273">
        <v>2313016716</v>
      </c>
      <c r="C4273" t="str">
        <f>T("올마스터가 된 비전서고 100화")</f>
        <v>올마스터가 된 비전서고 100화</v>
      </c>
      <c r="D4273" t="str">
        <f>T("100")</f>
        <v>100</v>
      </c>
      <c r="E4273" t="str">
        <f t="shared" si="555"/>
        <v>글면증</v>
      </c>
      <c r="H4273" t="str">
        <f t="shared" si="556"/>
        <v>스토리위즈</v>
      </c>
      <c r="I4273" t="str">
        <f t="shared" si="557"/>
        <v>올마스터가 된 비전서고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70</v>
      </c>
      <c r="AT4273" t="str">
        <f t="shared" si="558"/>
        <v>9791137601314</v>
      </c>
      <c r="AV4273" t="str">
        <f t="shared" si="559"/>
        <v>판타지 웹소설 &gt; 퓨전 판타지</v>
      </c>
    </row>
    <row r="4274" spans="1:48" x14ac:dyDescent="0.4">
      <c r="A4274">
        <v>2313016617</v>
      </c>
      <c r="B4274">
        <v>2313016717</v>
      </c>
      <c r="C4274" t="str">
        <f>T("올마스터가 된 비전서고 101화")</f>
        <v>올마스터가 된 비전서고 101화</v>
      </c>
      <c r="D4274" t="str">
        <f>T("101")</f>
        <v>101</v>
      </c>
      <c r="E4274" t="str">
        <f t="shared" si="555"/>
        <v>글면증</v>
      </c>
      <c r="H4274" t="str">
        <f t="shared" si="556"/>
        <v>스토리위즈</v>
      </c>
      <c r="I4274" t="str">
        <f t="shared" si="557"/>
        <v>올마스터가 된 비전서고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70</v>
      </c>
      <c r="AT4274" t="str">
        <f t="shared" si="558"/>
        <v>9791137601314</v>
      </c>
      <c r="AV4274" t="str">
        <f t="shared" si="559"/>
        <v>판타지 웹소설 &gt; 퓨전 판타지</v>
      </c>
    </row>
    <row r="4275" spans="1:48" x14ac:dyDescent="0.4">
      <c r="A4275">
        <v>2313016617</v>
      </c>
      <c r="B4275">
        <v>2313016718</v>
      </c>
      <c r="C4275" t="str">
        <f>T("올마스터가 된 비전서고 102화")</f>
        <v>올마스터가 된 비전서고 102화</v>
      </c>
      <c r="D4275" t="str">
        <f>T("102")</f>
        <v>102</v>
      </c>
      <c r="E4275" t="str">
        <f t="shared" si="555"/>
        <v>글면증</v>
      </c>
      <c r="H4275" t="str">
        <f t="shared" si="556"/>
        <v>스토리위즈</v>
      </c>
      <c r="I4275" t="str">
        <f t="shared" si="557"/>
        <v>올마스터가 된 비전서고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70</v>
      </c>
      <c r="AT4275" t="str">
        <f t="shared" si="558"/>
        <v>9791137601314</v>
      </c>
      <c r="AV4275" t="str">
        <f t="shared" si="559"/>
        <v>판타지 웹소설 &gt; 퓨전 판타지</v>
      </c>
    </row>
    <row r="4276" spans="1:48" x14ac:dyDescent="0.4">
      <c r="A4276">
        <v>2313016617</v>
      </c>
      <c r="B4276">
        <v>2313016719</v>
      </c>
      <c r="C4276" t="str">
        <f>T("올마스터가 된 비전서고 103화")</f>
        <v>올마스터가 된 비전서고 103화</v>
      </c>
      <c r="D4276" t="str">
        <f>T("103")</f>
        <v>103</v>
      </c>
      <c r="E4276" t="str">
        <f t="shared" si="555"/>
        <v>글면증</v>
      </c>
      <c r="H4276" t="str">
        <f t="shared" si="556"/>
        <v>스토리위즈</v>
      </c>
      <c r="I4276" t="str">
        <f t="shared" si="557"/>
        <v>올마스터가 된 비전서고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70</v>
      </c>
      <c r="AT4276" t="str">
        <f t="shared" si="558"/>
        <v>9791137601314</v>
      </c>
      <c r="AV4276" t="str">
        <f t="shared" si="559"/>
        <v>판타지 웹소설 &gt; 퓨전 판타지</v>
      </c>
    </row>
    <row r="4277" spans="1:48" x14ac:dyDescent="0.4">
      <c r="A4277">
        <v>2313016617</v>
      </c>
      <c r="B4277">
        <v>2313016720</v>
      </c>
      <c r="C4277" t="str">
        <f>T("올마스터가 된 비전서고 104화")</f>
        <v>올마스터가 된 비전서고 104화</v>
      </c>
      <c r="D4277" t="str">
        <f>T("104")</f>
        <v>104</v>
      </c>
      <c r="E4277" t="str">
        <f t="shared" si="555"/>
        <v>글면증</v>
      </c>
      <c r="H4277" t="str">
        <f t="shared" si="556"/>
        <v>스토리위즈</v>
      </c>
      <c r="I4277" t="str">
        <f t="shared" si="557"/>
        <v>올마스터가 된 비전서고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70</v>
      </c>
      <c r="AT4277" t="str">
        <f t="shared" si="558"/>
        <v>9791137601314</v>
      </c>
      <c r="AV4277" t="str">
        <f t="shared" si="559"/>
        <v>판타지 웹소설 &gt; 퓨전 판타지</v>
      </c>
    </row>
    <row r="4278" spans="1:48" x14ac:dyDescent="0.4">
      <c r="A4278">
        <v>2313016617</v>
      </c>
      <c r="B4278">
        <v>2313016721</v>
      </c>
      <c r="C4278" t="str">
        <f>T("올마스터가 된 비전서고 105화")</f>
        <v>올마스터가 된 비전서고 105화</v>
      </c>
      <c r="D4278" t="str">
        <f>T("105")</f>
        <v>105</v>
      </c>
      <c r="E4278" t="str">
        <f t="shared" si="555"/>
        <v>글면증</v>
      </c>
      <c r="H4278" t="str">
        <f t="shared" si="556"/>
        <v>스토리위즈</v>
      </c>
      <c r="I4278" t="str">
        <f t="shared" si="557"/>
        <v>올마스터가 된 비전서고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70</v>
      </c>
      <c r="AT4278" t="str">
        <f t="shared" si="558"/>
        <v>9791137601314</v>
      </c>
      <c r="AV4278" t="str">
        <f t="shared" si="559"/>
        <v>판타지 웹소설 &gt; 퓨전 판타지</v>
      </c>
    </row>
    <row r="4279" spans="1:48" x14ac:dyDescent="0.4">
      <c r="A4279">
        <v>2313016617</v>
      </c>
      <c r="B4279">
        <v>2313016722</v>
      </c>
      <c r="C4279" t="str">
        <f>T("올마스터가 된 비전서고 106화")</f>
        <v>올마스터가 된 비전서고 106화</v>
      </c>
      <c r="D4279" t="str">
        <f>T("106")</f>
        <v>106</v>
      </c>
      <c r="E4279" t="str">
        <f t="shared" si="555"/>
        <v>글면증</v>
      </c>
      <c r="H4279" t="str">
        <f t="shared" si="556"/>
        <v>스토리위즈</v>
      </c>
      <c r="I4279" t="str">
        <f t="shared" si="557"/>
        <v>올마스터가 된 비전서고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70</v>
      </c>
      <c r="AT4279" t="str">
        <f t="shared" si="558"/>
        <v>9791137601314</v>
      </c>
      <c r="AV4279" t="str">
        <f t="shared" si="559"/>
        <v>판타지 웹소설 &gt; 퓨전 판타지</v>
      </c>
    </row>
    <row r="4280" spans="1:48" x14ac:dyDescent="0.4">
      <c r="A4280">
        <v>2313016617</v>
      </c>
      <c r="B4280">
        <v>2313016723</v>
      </c>
      <c r="C4280" t="str">
        <f>T("올마스터가 된 비전서고 107화")</f>
        <v>올마스터가 된 비전서고 107화</v>
      </c>
      <c r="D4280" t="str">
        <f>T("107")</f>
        <v>107</v>
      </c>
      <c r="E4280" t="str">
        <f t="shared" si="555"/>
        <v>글면증</v>
      </c>
      <c r="H4280" t="str">
        <f t="shared" si="556"/>
        <v>스토리위즈</v>
      </c>
      <c r="I4280" t="str">
        <f t="shared" si="557"/>
        <v>올마스터가 된 비전서고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70</v>
      </c>
      <c r="AT4280" t="str">
        <f t="shared" si="558"/>
        <v>9791137601314</v>
      </c>
      <c r="AV4280" t="str">
        <f t="shared" si="559"/>
        <v>판타지 웹소설 &gt; 퓨전 판타지</v>
      </c>
    </row>
    <row r="4281" spans="1:48" x14ac:dyDescent="0.4">
      <c r="A4281">
        <v>2313016617</v>
      </c>
      <c r="B4281">
        <v>2313016724</v>
      </c>
      <c r="C4281" t="str">
        <f>T("올마스터가 된 비전서고 108화")</f>
        <v>올마스터가 된 비전서고 108화</v>
      </c>
      <c r="D4281" t="str">
        <f>T("108")</f>
        <v>108</v>
      </c>
      <c r="E4281" t="str">
        <f t="shared" ref="E4281:E4344" si="560">T("글면증")</f>
        <v>글면증</v>
      </c>
      <c r="H4281" t="str">
        <f t="shared" ref="H4281:H4344" si="561">T("스토리위즈")</f>
        <v>스토리위즈</v>
      </c>
      <c r="I4281" t="str">
        <f t="shared" ref="I4281:I4344" si="562">T("올마스터가 된 비전서고")</f>
        <v>올마스터가 된 비전서고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70</v>
      </c>
      <c r="AT4281" t="str">
        <f t="shared" ref="AT4281:AT4344" si="563">T("9791137601314")</f>
        <v>9791137601314</v>
      </c>
      <c r="AV4281" t="str">
        <f t="shared" si="559"/>
        <v>판타지 웹소설 &gt; 퓨전 판타지</v>
      </c>
    </row>
    <row r="4282" spans="1:48" x14ac:dyDescent="0.4">
      <c r="A4282">
        <v>2313016617</v>
      </c>
      <c r="B4282">
        <v>2313016725</v>
      </c>
      <c r="C4282" t="str">
        <f>T("올마스터가 된 비전서고 109화")</f>
        <v>올마스터가 된 비전서고 109화</v>
      </c>
      <c r="D4282" t="str">
        <f>T("109")</f>
        <v>109</v>
      </c>
      <c r="E4282" t="str">
        <f t="shared" si="560"/>
        <v>글면증</v>
      </c>
      <c r="H4282" t="str">
        <f t="shared" si="561"/>
        <v>스토리위즈</v>
      </c>
      <c r="I4282" t="str">
        <f t="shared" si="562"/>
        <v>올마스터가 된 비전서고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70</v>
      </c>
      <c r="AT4282" t="str">
        <f t="shared" si="563"/>
        <v>9791137601314</v>
      </c>
      <c r="AV4282" t="str">
        <f t="shared" si="559"/>
        <v>판타지 웹소설 &gt; 퓨전 판타지</v>
      </c>
    </row>
    <row r="4283" spans="1:48" x14ac:dyDescent="0.4">
      <c r="A4283">
        <v>2313016617</v>
      </c>
      <c r="B4283">
        <v>2313016726</v>
      </c>
      <c r="C4283" t="str">
        <f>T("올마스터가 된 비전서고 110화")</f>
        <v>올마스터가 된 비전서고 110화</v>
      </c>
      <c r="D4283" t="str">
        <f>T("110")</f>
        <v>110</v>
      </c>
      <c r="E4283" t="str">
        <f t="shared" si="560"/>
        <v>글면증</v>
      </c>
      <c r="H4283" t="str">
        <f t="shared" si="561"/>
        <v>스토리위즈</v>
      </c>
      <c r="I4283" t="str">
        <f t="shared" si="562"/>
        <v>올마스터가 된 비전서고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70</v>
      </c>
      <c r="AT4283" t="str">
        <f t="shared" si="563"/>
        <v>9791137601314</v>
      </c>
      <c r="AV4283" t="str">
        <f t="shared" si="559"/>
        <v>판타지 웹소설 &gt; 퓨전 판타지</v>
      </c>
    </row>
    <row r="4284" spans="1:48" x14ac:dyDescent="0.4">
      <c r="A4284">
        <v>2313016617</v>
      </c>
      <c r="B4284">
        <v>2313016727</v>
      </c>
      <c r="C4284" t="str">
        <f>T("올마스터가 된 비전서고 111화")</f>
        <v>올마스터가 된 비전서고 111화</v>
      </c>
      <c r="D4284" t="str">
        <f>T("111")</f>
        <v>111</v>
      </c>
      <c r="E4284" t="str">
        <f t="shared" si="560"/>
        <v>글면증</v>
      </c>
      <c r="H4284" t="str">
        <f t="shared" si="561"/>
        <v>스토리위즈</v>
      </c>
      <c r="I4284" t="str">
        <f t="shared" si="562"/>
        <v>올마스터가 된 비전서고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70</v>
      </c>
      <c r="AT4284" t="str">
        <f t="shared" si="563"/>
        <v>9791137601314</v>
      </c>
      <c r="AV4284" t="str">
        <f t="shared" si="559"/>
        <v>판타지 웹소설 &gt; 퓨전 판타지</v>
      </c>
    </row>
    <row r="4285" spans="1:48" x14ac:dyDescent="0.4">
      <c r="A4285">
        <v>2313016617</v>
      </c>
      <c r="B4285">
        <v>2313016728</v>
      </c>
      <c r="C4285" t="str">
        <f>T("올마스터가 된 비전서고 112화")</f>
        <v>올마스터가 된 비전서고 112화</v>
      </c>
      <c r="D4285" t="str">
        <f>T("112")</f>
        <v>112</v>
      </c>
      <c r="E4285" t="str">
        <f t="shared" si="560"/>
        <v>글면증</v>
      </c>
      <c r="H4285" t="str">
        <f t="shared" si="561"/>
        <v>스토리위즈</v>
      </c>
      <c r="I4285" t="str">
        <f t="shared" si="562"/>
        <v>올마스터가 된 비전서고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70</v>
      </c>
      <c r="AT4285" t="str">
        <f t="shared" si="563"/>
        <v>9791137601314</v>
      </c>
      <c r="AV4285" t="str">
        <f t="shared" si="559"/>
        <v>판타지 웹소설 &gt; 퓨전 판타지</v>
      </c>
    </row>
    <row r="4286" spans="1:48" x14ac:dyDescent="0.4">
      <c r="A4286">
        <v>2313016617</v>
      </c>
      <c r="B4286">
        <v>2313016729</v>
      </c>
      <c r="C4286" t="str">
        <f>T("올마스터가 된 비전서고 113화")</f>
        <v>올마스터가 된 비전서고 113화</v>
      </c>
      <c r="D4286" t="str">
        <f>T("113")</f>
        <v>113</v>
      </c>
      <c r="E4286" t="str">
        <f t="shared" si="560"/>
        <v>글면증</v>
      </c>
      <c r="H4286" t="str">
        <f t="shared" si="561"/>
        <v>스토리위즈</v>
      </c>
      <c r="I4286" t="str">
        <f t="shared" si="562"/>
        <v>올마스터가 된 비전서고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70</v>
      </c>
      <c r="AT4286" t="str">
        <f t="shared" si="563"/>
        <v>9791137601314</v>
      </c>
      <c r="AV4286" t="str">
        <f t="shared" si="559"/>
        <v>판타지 웹소설 &gt; 퓨전 판타지</v>
      </c>
    </row>
    <row r="4287" spans="1:48" x14ac:dyDescent="0.4">
      <c r="A4287">
        <v>2313016617</v>
      </c>
      <c r="B4287">
        <v>2313016730</v>
      </c>
      <c r="C4287" t="str">
        <f>T("올마스터가 된 비전서고 114화")</f>
        <v>올마스터가 된 비전서고 114화</v>
      </c>
      <c r="D4287" t="str">
        <f>T("114")</f>
        <v>114</v>
      </c>
      <c r="E4287" t="str">
        <f t="shared" si="560"/>
        <v>글면증</v>
      </c>
      <c r="H4287" t="str">
        <f t="shared" si="561"/>
        <v>스토리위즈</v>
      </c>
      <c r="I4287" t="str">
        <f t="shared" si="562"/>
        <v>올마스터가 된 비전서고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70</v>
      </c>
      <c r="AT4287" t="str">
        <f t="shared" si="563"/>
        <v>9791137601314</v>
      </c>
      <c r="AV4287" t="str">
        <f t="shared" si="559"/>
        <v>판타지 웹소설 &gt; 퓨전 판타지</v>
      </c>
    </row>
    <row r="4288" spans="1:48" x14ac:dyDescent="0.4">
      <c r="A4288">
        <v>2313016617</v>
      </c>
      <c r="B4288">
        <v>2313016731</v>
      </c>
      <c r="C4288" t="str">
        <f>T("올마스터가 된 비전서고 115화")</f>
        <v>올마스터가 된 비전서고 115화</v>
      </c>
      <c r="D4288" t="str">
        <f>T("115")</f>
        <v>115</v>
      </c>
      <c r="E4288" t="str">
        <f t="shared" si="560"/>
        <v>글면증</v>
      </c>
      <c r="H4288" t="str">
        <f t="shared" si="561"/>
        <v>스토리위즈</v>
      </c>
      <c r="I4288" t="str">
        <f t="shared" si="562"/>
        <v>올마스터가 된 비전서고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70</v>
      </c>
      <c r="AT4288" t="str">
        <f t="shared" si="563"/>
        <v>9791137601314</v>
      </c>
      <c r="AV4288" t="str">
        <f t="shared" si="559"/>
        <v>판타지 웹소설 &gt; 퓨전 판타지</v>
      </c>
    </row>
    <row r="4289" spans="1:48" x14ac:dyDescent="0.4">
      <c r="A4289">
        <v>2313016617</v>
      </c>
      <c r="B4289">
        <v>2313016732</v>
      </c>
      <c r="C4289" t="str">
        <f>T("올마스터가 된 비전서고 116화")</f>
        <v>올마스터가 된 비전서고 116화</v>
      </c>
      <c r="D4289" t="str">
        <f>T("116")</f>
        <v>116</v>
      </c>
      <c r="E4289" t="str">
        <f t="shared" si="560"/>
        <v>글면증</v>
      </c>
      <c r="H4289" t="str">
        <f t="shared" si="561"/>
        <v>스토리위즈</v>
      </c>
      <c r="I4289" t="str">
        <f t="shared" si="562"/>
        <v>올마스터가 된 비전서고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70</v>
      </c>
      <c r="AT4289" t="str">
        <f t="shared" si="563"/>
        <v>9791137601314</v>
      </c>
      <c r="AV4289" t="str">
        <f t="shared" si="559"/>
        <v>판타지 웹소설 &gt; 퓨전 판타지</v>
      </c>
    </row>
    <row r="4290" spans="1:48" x14ac:dyDescent="0.4">
      <c r="A4290">
        <v>2313016617</v>
      </c>
      <c r="B4290">
        <v>2313016733</v>
      </c>
      <c r="C4290" t="str">
        <f>T("올마스터가 된 비전서고 117화")</f>
        <v>올마스터가 된 비전서고 117화</v>
      </c>
      <c r="D4290" t="str">
        <f>T("117")</f>
        <v>117</v>
      </c>
      <c r="E4290" t="str">
        <f t="shared" si="560"/>
        <v>글면증</v>
      </c>
      <c r="H4290" t="str">
        <f t="shared" si="561"/>
        <v>스토리위즈</v>
      </c>
      <c r="I4290" t="str">
        <f t="shared" si="562"/>
        <v>올마스터가 된 비전서고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70</v>
      </c>
      <c r="AT4290" t="str">
        <f t="shared" si="563"/>
        <v>9791137601314</v>
      </c>
      <c r="AV4290" t="str">
        <f t="shared" si="559"/>
        <v>판타지 웹소설 &gt; 퓨전 판타지</v>
      </c>
    </row>
    <row r="4291" spans="1:48" x14ac:dyDescent="0.4">
      <c r="A4291">
        <v>2313016617</v>
      </c>
      <c r="B4291">
        <v>2313016734</v>
      </c>
      <c r="C4291" t="str">
        <f>T("올마스터가 된 비전서고 118화")</f>
        <v>올마스터가 된 비전서고 118화</v>
      </c>
      <c r="D4291" t="str">
        <f>T("118")</f>
        <v>118</v>
      </c>
      <c r="E4291" t="str">
        <f t="shared" si="560"/>
        <v>글면증</v>
      </c>
      <c r="H4291" t="str">
        <f t="shared" si="561"/>
        <v>스토리위즈</v>
      </c>
      <c r="I4291" t="str">
        <f t="shared" si="562"/>
        <v>올마스터가 된 비전서고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70</v>
      </c>
      <c r="AT4291" t="str">
        <f t="shared" si="563"/>
        <v>9791137601314</v>
      </c>
      <c r="AV4291" t="str">
        <f t="shared" si="559"/>
        <v>판타지 웹소설 &gt; 퓨전 판타지</v>
      </c>
    </row>
    <row r="4292" spans="1:48" x14ac:dyDescent="0.4">
      <c r="A4292">
        <v>2313016617</v>
      </c>
      <c r="B4292">
        <v>2313016735</v>
      </c>
      <c r="C4292" t="str">
        <f>T("올마스터가 된 비전서고 119화")</f>
        <v>올마스터가 된 비전서고 119화</v>
      </c>
      <c r="D4292" t="str">
        <f>T("119")</f>
        <v>119</v>
      </c>
      <c r="E4292" t="str">
        <f t="shared" si="560"/>
        <v>글면증</v>
      </c>
      <c r="H4292" t="str">
        <f t="shared" si="561"/>
        <v>스토리위즈</v>
      </c>
      <c r="I4292" t="str">
        <f t="shared" si="562"/>
        <v>올마스터가 된 비전서고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70</v>
      </c>
      <c r="AT4292" t="str">
        <f t="shared" si="563"/>
        <v>9791137601314</v>
      </c>
      <c r="AV4292" t="str">
        <f t="shared" si="559"/>
        <v>판타지 웹소설 &gt; 퓨전 판타지</v>
      </c>
    </row>
    <row r="4293" spans="1:48" x14ac:dyDescent="0.4">
      <c r="A4293">
        <v>2313016617</v>
      </c>
      <c r="B4293">
        <v>2313016736</v>
      </c>
      <c r="C4293" t="str">
        <f>T("올마스터가 된 비전서고 120화")</f>
        <v>올마스터가 된 비전서고 120화</v>
      </c>
      <c r="D4293" t="str">
        <f>T("120")</f>
        <v>120</v>
      </c>
      <c r="E4293" t="str">
        <f t="shared" si="560"/>
        <v>글면증</v>
      </c>
      <c r="H4293" t="str">
        <f t="shared" si="561"/>
        <v>스토리위즈</v>
      </c>
      <c r="I4293" t="str">
        <f t="shared" si="562"/>
        <v>올마스터가 된 비전서고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70</v>
      </c>
      <c r="AT4293" t="str">
        <f t="shared" si="563"/>
        <v>9791137601314</v>
      </c>
      <c r="AV4293" t="str">
        <f t="shared" si="559"/>
        <v>판타지 웹소설 &gt; 퓨전 판타지</v>
      </c>
    </row>
    <row r="4294" spans="1:48" x14ac:dyDescent="0.4">
      <c r="A4294">
        <v>2313016617</v>
      </c>
      <c r="B4294">
        <v>2313016737</v>
      </c>
      <c r="C4294" t="str">
        <f>T("올마스터가 된 비전서고 121화")</f>
        <v>올마스터가 된 비전서고 121화</v>
      </c>
      <c r="D4294" t="str">
        <f>T("121")</f>
        <v>121</v>
      </c>
      <c r="E4294" t="str">
        <f t="shared" si="560"/>
        <v>글면증</v>
      </c>
      <c r="H4294" t="str">
        <f t="shared" si="561"/>
        <v>스토리위즈</v>
      </c>
      <c r="I4294" t="str">
        <f t="shared" si="562"/>
        <v>올마스터가 된 비전서고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70</v>
      </c>
      <c r="AT4294" t="str">
        <f t="shared" si="563"/>
        <v>9791137601314</v>
      </c>
      <c r="AV4294" t="str">
        <f t="shared" si="559"/>
        <v>판타지 웹소설 &gt; 퓨전 판타지</v>
      </c>
    </row>
    <row r="4295" spans="1:48" x14ac:dyDescent="0.4">
      <c r="A4295">
        <v>2313016617</v>
      </c>
      <c r="B4295">
        <v>2313016738</v>
      </c>
      <c r="C4295" t="str">
        <f>T("올마스터가 된 비전서고 122화")</f>
        <v>올마스터가 된 비전서고 122화</v>
      </c>
      <c r="D4295" t="str">
        <f>T("122")</f>
        <v>122</v>
      </c>
      <c r="E4295" t="str">
        <f t="shared" si="560"/>
        <v>글면증</v>
      </c>
      <c r="H4295" t="str">
        <f t="shared" si="561"/>
        <v>스토리위즈</v>
      </c>
      <c r="I4295" t="str">
        <f t="shared" si="562"/>
        <v>올마스터가 된 비전서고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70</v>
      </c>
      <c r="AT4295" t="str">
        <f t="shared" si="563"/>
        <v>9791137601314</v>
      </c>
      <c r="AV4295" t="str">
        <f t="shared" si="559"/>
        <v>판타지 웹소설 &gt; 퓨전 판타지</v>
      </c>
    </row>
    <row r="4296" spans="1:48" x14ac:dyDescent="0.4">
      <c r="A4296">
        <v>2313016617</v>
      </c>
      <c r="B4296">
        <v>2313016739</v>
      </c>
      <c r="C4296" t="str">
        <f>T("올마스터가 된 비전서고 123화")</f>
        <v>올마스터가 된 비전서고 123화</v>
      </c>
      <c r="D4296" t="str">
        <f>T("123")</f>
        <v>123</v>
      </c>
      <c r="E4296" t="str">
        <f t="shared" si="560"/>
        <v>글면증</v>
      </c>
      <c r="H4296" t="str">
        <f t="shared" si="561"/>
        <v>스토리위즈</v>
      </c>
      <c r="I4296" t="str">
        <f t="shared" si="562"/>
        <v>올마스터가 된 비전서고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70</v>
      </c>
      <c r="AT4296" t="str">
        <f t="shared" si="563"/>
        <v>9791137601314</v>
      </c>
      <c r="AV4296" t="str">
        <f t="shared" si="559"/>
        <v>판타지 웹소설 &gt; 퓨전 판타지</v>
      </c>
    </row>
    <row r="4297" spans="1:48" x14ac:dyDescent="0.4">
      <c r="A4297">
        <v>2313016617</v>
      </c>
      <c r="B4297">
        <v>2313016740</v>
      </c>
      <c r="C4297" t="str">
        <f>T("올마스터가 된 비전서고 124화")</f>
        <v>올마스터가 된 비전서고 124화</v>
      </c>
      <c r="D4297" t="str">
        <f>T("124")</f>
        <v>124</v>
      </c>
      <c r="E4297" t="str">
        <f t="shared" si="560"/>
        <v>글면증</v>
      </c>
      <c r="H4297" t="str">
        <f t="shared" si="561"/>
        <v>스토리위즈</v>
      </c>
      <c r="I4297" t="str">
        <f t="shared" si="562"/>
        <v>올마스터가 된 비전서고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70</v>
      </c>
      <c r="AT4297" t="str">
        <f t="shared" si="563"/>
        <v>9791137601314</v>
      </c>
      <c r="AV4297" t="str">
        <f t="shared" si="559"/>
        <v>판타지 웹소설 &gt; 퓨전 판타지</v>
      </c>
    </row>
    <row r="4298" spans="1:48" x14ac:dyDescent="0.4">
      <c r="A4298">
        <v>2313016617</v>
      </c>
      <c r="B4298">
        <v>2313016741</v>
      </c>
      <c r="C4298" t="str">
        <f>T("올마스터가 된 비전서고 125화")</f>
        <v>올마스터가 된 비전서고 125화</v>
      </c>
      <c r="D4298" t="str">
        <f>T("125")</f>
        <v>125</v>
      </c>
      <c r="E4298" t="str">
        <f t="shared" si="560"/>
        <v>글면증</v>
      </c>
      <c r="H4298" t="str">
        <f t="shared" si="561"/>
        <v>스토리위즈</v>
      </c>
      <c r="I4298" t="str">
        <f t="shared" si="562"/>
        <v>올마스터가 된 비전서고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70</v>
      </c>
      <c r="AT4298" t="str">
        <f t="shared" si="563"/>
        <v>9791137601314</v>
      </c>
      <c r="AV4298" t="str">
        <f t="shared" si="559"/>
        <v>판타지 웹소설 &gt; 퓨전 판타지</v>
      </c>
    </row>
    <row r="4299" spans="1:48" x14ac:dyDescent="0.4">
      <c r="A4299">
        <v>2313016617</v>
      </c>
      <c r="B4299">
        <v>2313016742</v>
      </c>
      <c r="C4299" t="str">
        <f>T("올마스터가 된 비전서고 126화")</f>
        <v>올마스터가 된 비전서고 126화</v>
      </c>
      <c r="D4299" t="str">
        <f>T("126")</f>
        <v>126</v>
      </c>
      <c r="E4299" t="str">
        <f t="shared" si="560"/>
        <v>글면증</v>
      </c>
      <c r="H4299" t="str">
        <f t="shared" si="561"/>
        <v>스토리위즈</v>
      </c>
      <c r="I4299" t="str">
        <f t="shared" si="562"/>
        <v>올마스터가 된 비전서고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70</v>
      </c>
      <c r="AT4299" t="str">
        <f t="shared" si="563"/>
        <v>9791137601314</v>
      </c>
      <c r="AV4299" t="str">
        <f t="shared" si="559"/>
        <v>판타지 웹소설 &gt; 퓨전 판타지</v>
      </c>
    </row>
    <row r="4300" spans="1:48" x14ac:dyDescent="0.4">
      <c r="A4300">
        <v>2313016617</v>
      </c>
      <c r="B4300">
        <v>2313016743</v>
      </c>
      <c r="C4300" t="str">
        <f>T("올마스터가 된 비전서고 127화")</f>
        <v>올마스터가 된 비전서고 127화</v>
      </c>
      <c r="D4300" t="str">
        <f>T("127")</f>
        <v>127</v>
      </c>
      <c r="E4300" t="str">
        <f t="shared" si="560"/>
        <v>글면증</v>
      </c>
      <c r="H4300" t="str">
        <f t="shared" si="561"/>
        <v>스토리위즈</v>
      </c>
      <c r="I4300" t="str">
        <f t="shared" si="562"/>
        <v>올마스터가 된 비전서고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70</v>
      </c>
      <c r="AT4300" t="str">
        <f t="shared" si="563"/>
        <v>9791137601314</v>
      </c>
      <c r="AV4300" t="str">
        <f t="shared" si="559"/>
        <v>판타지 웹소설 &gt; 퓨전 판타지</v>
      </c>
    </row>
    <row r="4301" spans="1:48" x14ac:dyDescent="0.4">
      <c r="A4301">
        <v>2313016617</v>
      </c>
      <c r="B4301">
        <v>2313016744</v>
      </c>
      <c r="C4301" t="str">
        <f>T("올마스터가 된 비전서고 128화")</f>
        <v>올마스터가 된 비전서고 128화</v>
      </c>
      <c r="D4301" t="str">
        <f>T("128")</f>
        <v>128</v>
      </c>
      <c r="E4301" t="str">
        <f t="shared" si="560"/>
        <v>글면증</v>
      </c>
      <c r="H4301" t="str">
        <f t="shared" si="561"/>
        <v>스토리위즈</v>
      </c>
      <c r="I4301" t="str">
        <f t="shared" si="562"/>
        <v>올마스터가 된 비전서고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70</v>
      </c>
      <c r="AT4301" t="str">
        <f t="shared" si="563"/>
        <v>9791137601314</v>
      </c>
      <c r="AV4301" t="str">
        <f t="shared" si="559"/>
        <v>판타지 웹소설 &gt; 퓨전 판타지</v>
      </c>
    </row>
    <row r="4302" spans="1:48" x14ac:dyDescent="0.4">
      <c r="A4302">
        <v>2313016617</v>
      </c>
      <c r="B4302">
        <v>2313016745</v>
      </c>
      <c r="C4302" t="str">
        <f>T("올마스터가 된 비전서고 129화")</f>
        <v>올마스터가 된 비전서고 129화</v>
      </c>
      <c r="D4302" t="str">
        <f>T("129")</f>
        <v>129</v>
      </c>
      <c r="E4302" t="str">
        <f t="shared" si="560"/>
        <v>글면증</v>
      </c>
      <c r="H4302" t="str">
        <f t="shared" si="561"/>
        <v>스토리위즈</v>
      </c>
      <c r="I4302" t="str">
        <f t="shared" si="562"/>
        <v>올마스터가 된 비전서고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70</v>
      </c>
      <c r="AT4302" t="str">
        <f t="shared" si="563"/>
        <v>9791137601314</v>
      </c>
      <c r="AV4302" t="str">
        <f t="shared" si="559"/>
        <v>판타지 웹소설 &gt; 퓨전 판타지</v>
      </c>
    </row>
    <row r="4303" spans="1:48" x14ac:dyDescent="0.4">
      <c r="A4303">
        <v>2313016617</v>
      </c>
      <c r="B4303">
        <v>2313016746</v>
      </c>
      <c r="C4303" t="str">
        <f>T("올마스터가 된 비전서고 130화")</f>
        <v>올마스터가 된 비전서고 130화</v>
      </c>
      <c r="D4303" t="str">
        <f>T("130")</f>
        <v>130</v>
      </c>
      <c r="E4303" t="str">
        <f t="shared" si="560"/>
        <v>글면증</v>
      </c>
      <c r="H4303" t="str">
        <f t="shared" si="561"/>
        <v>스토리위즈</v>
      </c>
      <c r="I4303" t="str">
        <f t="shared" si="562"/>
        <v>올마스터가 된 비전서고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70</v>
      </c>
      <c r="AT4303" t="str">
        <f t="shared" si="563"/>
        <v>9791137601314</v>
      </c>
      <c r="AV4303" t="str">
        <f t="shared" si="559"/>
        <v>판타지 웹소설 &gt; 퓨전 판타지</v>
      </c>
    </row>
    <row r="4304" spans="1:48" x14ac:dyDescent="0.4">
      <c r="A4304">
        <v>2313016617</v>
      </c>
      <c r="B4304">
        <v>2313016748</v>
      </c>
      <c r="C4304" t="str">
        <f>T("올마스터가 된 비전서고 132화")</f>
        <v>올마스터가 된 비전서고 132화</v>
      </c>
      <c r="D4304" t="str">
        <f>T("132")</f>
        <v>132</v>
      </c>
      <c r="E4304" t="str">
        <f t="shared" si="560"/>
        <v>글면증</v>
      </c>
      <c r="H4304" t="str">
        <f t="shared" si="561"/>
        <v>스토리위즈</v>
      </c>
      <c r="I4304" t="str">
        <f t="shared" si="562"/>
        <v>올마스터가 된 비전서고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70</v>
      </c>
      <c r="AT4304" t="str">
        <f t="shared" si="563"/>
        <v>9791137601314</v>
      </c>
      <c r="AV4304" t="str">
        <f t="shared" si="559"/>
        <v>판타지 웹소설 &gt; 퓨전 판타지</v>
      </c>
    </row>
    <row r="4305" spans="1:48" x14ac:dyDescent="0.4">
      <c r="A4305">
        <v>2313016617</v>
      </c>
      <c r="B4305">
        <v>2313016749</v>
      </c>
      <c r="C4305" t="str">
        <f>T("올마스터가 된 비전서고 133화")</f>
        <v>올마스터가 된 비전서고 133화</v>
      </c>
      <c r="D4305" t="str">
        <f>T("133")</f>
        <v>133</v>
      </c>
      <c r="E4305" t="str">
        <f t="shared" si="560"/>
        <v>글면증</v>
      </c>
      <c r="H4305" t="str">
        <f t="shared" si="561"/>
        <v>스토리위즈</v>
      </c>
      <c r="I4305" t="str">
        <f t="shared" si="562"/>
        <v>올마스터가 된 비전서고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70</v>
      </c>
      <c r="AT4305" t="str">
        <f t="shared" si="563"/>
        <v>9791137601314</v>
      </c>
      <c r="AV4305" t="str">
        <f t="shared" ref="AV4305:AV4368" si="564">T("판타지 웹소설 &gt; 퓨전 판타지")</f>
        <v>판타지 웹소설 &gt; 퓨전 판타지</v>
      </c>
    </row>
    <row r="4306" spans="1:48" x14ac:dyDescent="0.4">
      <c r="A4306">
        <v>2313016617</v>
      </c>
      <c r="B4306">
        <v>2313016750</v>
      </c>
      <c r="C4306" t="str">
        <f>T("올마스터가 된 비전서고 134화")</f>
        <v>올마스터가 된 비전서고 134화</v>
      </c>
      <c r="D4306" t="str">
        <f>T("134")</f>
        <v>134</v>
      </c>
      <c r="E4306" t="str">
        <f t="shared" si="560"/>
        <v>글면증</v>
      </c>
      <c r="H4306" t="str">
        <f t="shared" si="561"/>
        <v>스토리위즈</v>
      </c>
      <c r="I4306" t="str">
        <f t="shared" si="562"/>
        <v>올마스터가 된 비전서고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70</v>
      </c>
      <c r="AT4306" t="str">
        <f t="shared" si="563"/>
        <v>9791137601314</v>
      </c>
      <c r="AV4306" t="str">
        <f t="shared" si="564"/>
        <v>판타지 웹소설 &gt; 퓨전 판타지</v>
      </c>
    </row>
    <row r="4307" spans="1:48" x14ac:dyDescent="0.4">
      <c r="A4307">
        <v>2313016617</v>
      </c>
      <c r="B4307">
        <v>2313016751</v>
      </c>
      <c r="C4307" t="str">
        <f>T("올마스터가 된 비전서고 135화")</f>
        <v>올마스터가 된 비전서고 135화</v>
      </c>
      <c r="D4307" t="str">
        <f>T("135")</f>
        <v>135</v>
      </c>
      <c r="E4307" t="str">
        <f t="shared" si="560"/>
        <v>글면증</v>
      </c>
      <c r="H4307" t="str">
        <f t="shared" si="561"/>
        <v>스토리위즈</v>
      </c>
      <c r="I4307" t="str">
        <f t="shared" si="562"/>
        <v>올마스터가 된 비전서고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70</v>
      </c>
      <c r="AT4307" t="str">
        <f t="shared" si="563"/>
        <v>9791137601314</v>
      </c>
      <c r="AV4307" t="str">
        <f t="shared" si="564"/>
        <v>판타지 웹소설 &gt; 퓨전 판타지</v>
      </c>
    </row>
    <row r="4308" spans="1:48" x14ac:dyDescent="0.4">
      <c r="A4308">
        <v>2313016617</v>
      </c>
      <c r="B4308">
        <v>2313016752</v>
      </c>
      <c r="C4308" t="str">
        <f>T("올마스터가 된 비전서고 136화")</f>
        <v>올마스터가 된 비전서고 136화</v>
      </c>
      <c r="D4308" t="str">
        <f>T("136")</f>
        <v>136</v>
      </c>
      <c r="E4308" t="str">
        <f t="shared" si="560"/>
        <v>글면증</v>
      </c>
      <c r="H4308" t="str">
        <f t="shared" si="561"/>
        <v>스토리위즈</v>
      </c>
      <c r="I4308" t="str">
        <f t="shared" si="562"/>
        <v>올마스터가 된 비전서고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70</v>
      </c>
      <c r="AT4308" t="str">
        <f t="shared" si="563"/>
        <v>9791137601314</v>
      </c>
      <c r="AV4308" t="str">
        <f t="shared" si="564"/>
        <v>판타지 웹소설 &gt; 퓨전 판타지</v>
      </c>
    </row>
    <row r="4309" spans="1:48" x14ac:dyDescent="0.4">
      <c r="A4309">
        <v>2313016617</v>
      </c>
      <c r="B4309">
        <v>2313016753</v>
      </c>
      <c r="C4309" t="str">
        <f>T("올마스터가 된 비전서고 137화")</f>
        <v>올마스터가 된 비전서고 137화</v>
      </c>
      <c r="D4309" t="str">
        <f>T("137")</f>
        <v>137</v>
      </c>
      <c r="E4309" t="str">
        <f t="shared" si="560"/>
        <v>글면증</v>
      </c>
      <c r="H4309" t="str">
        <f t="shared" si="561"/>
        <v>스토리위즈</v>
      </c>
      <c r="I4309" t="str">
        <f t="shared" si="562"/>
        <v>올마스터가 된 비전서고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70</v>
      </c>
      <c r="AT4309" t="str">
        <f t="shared" si="563"/>
        <v>9791137601314</v>
      </c>
      <c r="AV4309" t="str">
        <f t="shared" si="564"/>
        <v>판타지 웹소설 &gt; 퓨전 판타지</v>
      </c>
    </row>
    <row r="4310" spans="1:48" x14ac:dyDescent="0.4">
      <c r="A4310">
        <v>2313016617</v>
      </c>
      <c r="B4310">
        <v>2313016754</v>
      </c>
      <c r="C4310" t="str">
        <f>T("올마스터가 된 비전서고 138화")</f>
        <v>올마스터가 된 비전서고 138화</v>
      </c>
      <c r="D4310" t="str">
        <f>T("138")</f>
        <v>138</v>
      </c>
      <c r="E4310" t="str">
        <f t="shared" si="560"/>
        <v>글면증</v>
      </c>
      <c r="H4310" t="str">
        <f t="shared" si="561"/>
        <v>스토리위즈</v>
      </c>
      <c r="I4310" t="str">
        <f t="shared" si="562"/>
        <v>올마스터가 된 비전서고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70</v>
      </c>
      <c r="AT4310" t="str">
        <f t="shared" si="563"/>
        <v>9791137601314</v>
      </c>
      <c r="AV4310" t="str">
        <f t="shared" si="564"/>
        <v>판타지 웹소설 &gt; 퓨전 판타지</v>
      </c>
    </row>
    <row r="4311" spans="1:48" x14ac:dyDescent="0.4">
      <c r="A4311">
        <v>2313016617</v>
      </c>
      <c r="B4311">
        <v>2313016755</v>
      </c>
      <c r="C4311" t="str">
        <f>T("올마스터가 된 비전서고 139화")</f>
        <v>올마스터가 된 비전서고 139화</v>
      </c>
      <c r="D4311" t="str">
        <f>T("139")</f>
        <v>139</v>
      </c>
      <c r="E4311" t="str">
        <f t="shared" si="560"/>
        <v>글면증</v>
      </c>
      <c r="H4311" t="str">
        <f t="shared" si="561"/>
        <v>스토리위즈</v>
      </c>
      <c r="I4311" t="str">
        <f t="shared" si="562"/>
        <v>올마스터가 된 비전서고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70</v>
      </c>
      <c r="AT4311" t="str">
        <f t="shared" si="563"/>
        <v>9791137601314</v>
      </c>
      <c r="AV4311" t="str">
        <f t="shared" si="564"/>
        <v>판타지 웹소설 &gt; 퓨전 판타지</v>
      </c>
    </row>
    <row r="4312" spans="1:48" x14ac:dyDescent="0.4">
      <c r="A4312">
        <v>2313016617</v>
      </c>
      <c r="B4312">
        <v>2313016756</v>
      </c>
      <c r="C4312" t="str">
        <f>T("올마스터가 된 비전서고 140화")</f>
        <v>올마스터가 된 비전서고 140화</v>
      </c>
      <c r="D4312" t="str">
        <f>T("140")</f>
        <v>140</v>
      </c>
      <c r="E4312" t="str">
        <f t="shared" si="560"/>
        <v>글면증</v>
      </c>
      <c r="H4312" t="str">
        <f t="shared" si="561"/>
        <v>스토리위즈</v>
      </c>
      <c r="I4312" t="str">
        <f t="shared" si="562"/>
        <v>올마스터가 된 비전서고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70</v>
      </c>
      <c r="AT4312" t="str">
        <f t="shared" si="563"/>
        <v>9791137601314</v>
      </c>
      <c r="AV4312" t="str">
        <f t="shared" si="564"/>
        <v>판타지 웹소설 &gt; 퓨전 판타지</v>
      </c>
    </row>
    <row r="4313" spans="1:48" x14ac:dyDescent="0.4">
      <c r="A4313">
        <v>2313016617</v>
      </c>
      <c r="B4313">
        <v>2313016757</v>
      </c>
      <c r="C4313" t="str">
        <f>T("올마스터가 된 비전서고 141화")</f>
        <v>올마스터가 된 비전서고 141화</v>
      </c>
      <c r="D4313" t="str">
        <f>T("141")</f>
        <v>141</v>
      </c>
      <c r="E4313" t="str">
        <f t="shared" si="560"/>
        <v>글면증</v>
      </c>
      <c r="H4313" t="str">
        <f t="shared" si="561"/>
        <v>스토리위즈</v>
      </c>
      <c r="I4313" t="str">
        <f t="shared" si="562"/>
        <v>올마스터가 된 비전서고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70</v>
      </c>
      <c r="AT4313" t="str">
        <f t="shared" si="563"/>
        <v>9791137601314</v>
      </c>
      <c r="AV4313" t="str">
        <f t="shared" si="564"/>
        <v>판타지 웹소설 &gt; 퓨전 판타지</v>
      </c>
    </row>
    <row r="4314" spans="1:48" x14ac:dyDescent="0.4">
      <c r="A4314">
        <v>2313016617</v>
      </c>
      <c r="B4314">
        <v>2313016758</v>
      </c>
      <c r="C4314" t="str">
        <f>T("올마스터가 된 비전서고 142화")</f>
        <v>올마스터가 된 비전서고 142화</v>
      </c>
      <c r="D4314" t="str">
        <f>T("142")</f>
        <v>142</v>
      </c>
      <c r="E4314" t="str">
        <f t="shared" si="560"/>
        <v>글면증</v>
      </c>
      <c r="H4314" t="str">
        <f t="shared" si="561"/>
        <v>스토리위즈</v>
      </c>
      <c r="I4314" t="str">
        <f t="shared" si="562"/>
        <v>올마스터가 된 비전서고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70</v>
      </c>
      <c r="AT4314" t="str">
        <f t="shared" si="563"/>
        <v>9791137601314</v>
      </c>
      <c r="AV4314" t="str">
        <f t="shared" si="564"/>
        <v>판타지 웹소설 &gt; 퓨전 판타지</v>
      </c>
    </row>
    <row r="4315" spans="1:48" x14ac:dyDescent="0.4">
      <c r="A4315">
        <v>2313016617</v>
      </c>
      <c r="B4315">
        <v>2313016759</v>
      </c>
      <c r="C4315" t="str">
        <f>T("올마스터가 된 비전서고 143화")</f>
        <v>올마스터가 된 비전서고 143화</v>
      </c>
      <c r="D4315" t="str">
        <f>T("143")</f>
        <v>143</v>
      </c>
      <c r="E4315" t="str">
        <f t="shared" si="560"/>
        <v>글면증</v>
      </c>
      <c r="H4315" t="str">
        <f t="shared" si="561"/>
        <v>스토리위즈</v>
      </c>
      <c r="I4315" t="str">
        <f t="shared" si="562"/>
        <v>올마스터가 된 비전서고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70</v>
      </c>
      <c r="AT4315" t="str">
        <f t="shared" si="563"/>
        <v>9791137601314</v>
      </c>
      <c r="AV4315" t="str">
        <f t="shared" si="564"/>
        <v>판타지 웹소설 &gt; 퓨전 판타지</v>
      </c>
    </row>
    <row r="4316" spans="1:48" x14ac:dyDescent="0.4">
      <c r="A4316">
        <v>2313016617</v>
      </c>
      <c r="B4316">
        <v>2313016760</v>
      </c>
      <c r="C4316" t="str">
        <f>T("올마스터가 된 비전서고 144화")</f>
        <v>올마스터가 된 비전서고 144화</v>
      </c>
      <c r="D4316" t="str">
        <f>T("144")</f>
        <v>144</v>
      </c>
      <c r="E4316" t="str">
        <f t="shared" si="560"/>
        <v>글면증</v>
      </c>
      <c r="H4316" t="str">
        <f t="shared" si="561"/>
        <v>스토리위즈</v>
      </c>
      <c r="I4316" t="str">
        <f t="shared" si="562"/>
        <v>올마스터가 된 비전서고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70</v>
      </c>
      <c r="AT4316" t="str">
        <f t="shared" si="563"/>
        <v>9791137601314</v>
      </c>
      <c r="AV4316" t="str">
        <f t="shared" si="564"/>
        <v>판타지 웹소설 &gt; 퓨전 판타지</v>
      </c>
    </row>
    <row r="4317" spans="1:48" x14ac:dyDescent="0.4">
      <c r="A4317">
        <v>2313016617</v>
      </c>
      <c r="B4317">
        <v>2313016761</v>
      </c>
      <c r="C4317" t="str">
        <f>T("올마스터가 된 비전서고 145화")</f>
        <v>올마스터가 된 비전서고 145화</v>
      </c>
      <c r="D4317" t="str">
        <f>T("145")</f>
        <v>145</v>
      </c>
      <c r="E4317" t="str">
        <f t="shared" si="560"/>
        <v>글면증</v>
      </c>
      <c r="H4317" t="str">
        <f t="shared" si="561"/>
        <v>스토리위즈</v>
      </c>
      <c r="I4317" t="str">
        <f t="shared" si="562"/>
        <v>올마스터가 된 비전서고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70</v>
      </c>
      <c r="AT4317" t="str">
        <f t="shared" si="563"/>
        <v>9791137601314</v>
      </c>
      <c r="AV4317" t="str">
        <f t="shared" si="564"/>
        <v>판타지 웹소설 &gt; 퓨전 판타지</v>
      </c>
    </row>
    <row r="4318" spans="1:48" x14ac:dyDescent="0.4">
      <c r="A4318">
        <v>2313016617</v>
      </c>
      <c r="B4318">
        <v>2313016762</v>
      </c>
      <c r="C4318" t="str">
        <f>T("올마스터가 된 비전서고 146화")</f>
        <v>올마스터가 된 비전서고 146화</v>
      </c>
      <c r="D4318" t="str">
        <f>T("146")</f>
        <v>146</v>
      </c>
      <c r="E4318" t="str">
        <f t="shared" si="560"/>
        <v>글면증</v>
      </c>
      <c r="H4318" t="str">
        <f t="shared" si="561"/>
        <v>스토리위즈</v>
      </c>
      <c r="I4318" t="str">
        <f t="shared" si="562"/>
        <v>올마스터가 된 비전서고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70</v>
      </c>
      <c r="AT4318" t="str">
        <f t="shared" si="563"/>
        <v>9791137601314</v>
      </c>
      <c r="AV4318" t="str">
        <f t="shared" si="564"/>
        <v>판타지 웹소설 &gt; 퓨전 판타지</v>
      </c>
    </row>
    <row r="4319" spans="1:48" x14ac:dyDescent="0.4">
      <c r="A4319">
        <v>2313016617</v>
      </c>
      <c r="B4319">
        <v>2313016763</v>
      </c>
      <c r="C4319" t="str">
        <f>T("올마스터가 된 비전서고 147화")</f>
        <v>올마스터가 된 비전서고 147화</v>
      </c>
      <c r="D4319" t="str">
        <f>T("147")</f>
        <v>147</v>
      </c>
      <c r="E4319" t="str">
        <f t="shared" si="560"/>
        <v>글면증</v>
      </c>
      <c r="H4319" t="str">
        <f t="shared" si="561"/>
        <v>스토리위즈</v>
      </c>
      <c r="I4319" t="str">
        <f t="shared" si="562"/>
        <v>올마스터가 된 비전서고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70</v>
      </c>
      <c r="AT4319" t="str">
        <f t="shared" si="563"/>
        <v>9791137601314</v>
      </c>
      <c r="AV4319" t="str">
        <f t="shared" si="564"/>
        <v>판타지 웹소설 &gt; 퓨전 판타지</v>
      </c>
    </row>
    <row r="4320" spans="1:48" x14ac:dyDescent="0.4">
      <c r="A4320">
        <v>2313016617</v>
      </c>
      <c r="B4320">
        <v>2313016764</v>
      </c>
      <c r="C4320" t="str">
        <f>T("올마스터가 된 비전서고 148화")</f>
        <v>올마스터가 된 비전서고 148화</v>
      </c>
      <c r="D4320" t="str">
        <f>T("148")</f>
        <v>148</v>
      </c>
      <c r="E4320" t="str">
        <f t="shared" si="560"/>
        <v>글면증</v>
      </c>
      <c r="H4320" t="str">
        <f t="shared" si="561"/>
        <v>스토리위즈</v>
      </c>
      <c r="I4320" t="str">
        <f t="shared" si="562"/>
        <v>올마스터가 된 비전서고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70</v>
      </c>
      <c r="AT4320" t="str">
        <f t="shared" si="563"/>
        <v>9791137601314</v>
      </c>
      <c r="AV4320" t="str">
        <f t="shared" si="564"/>
        <v>판타지 웹소설 &gt; 퓨전 판타지</v>
      </c>
    </row>
    <row r="4321" spans="1:48" x14ac:dyDescent="0.4">
      <c r="A4321">
        <v>2313016617</v>
      </c>
      <c r="B4321">
        <v>2313016765</v>
      </c>
      <c r="C4321" t="str">
        <f>T("올마스터가 된 비전서고 149화")</f>
        <v>올마스터가 된 비전서고 149화</v>
      </c>
      <c r="D4321" t="str">
        <f>T("149")</f>
        <v>149</v>
      </c>
      <c r="E4321" t="str">
        <f t="shared" si="560"/>
        <v>글면증</v>
      </c>
      <c r="H4321" t="str">
        <f t="shared" si="561"/>
        <v>스토리위즈</v>
      </c>
      <c r="I4321" t="str">
        <f t="shared" si="562"/>
        <v>올마스터가 된 비전서고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70</v>
      </c>
      <c r="AT4321" t="str">
        <f t="shared" si="563"/>
        <v>9791137601314</v>
      </c>
      <c r="AV4321" t="str">
        <f t="shared" si="564"/>
        <v>판타지 웹소설 &gt; 퓨전 판타지</v>
      </c>
    </row>
    <row r="4322" spans="1:48" x14ac:dyDescent="0.4">
      <c r="A4322">
        <v>2313016617</v>
      </c>
      <c r="B4322">
        <v>2313016766</v>
      </c>
      <c r="C4322" t="str">
        <f>T("올마스터가 된 비전서고 150화")</f>
        <v>올마스터가 된 비전서고 150화</v>
      </c>
      <c r="D4322" t="str">
        <f>T("150")</f>
        <v>150</v>
      </c>
      <c r="E4322" t="str">
        <f t="shared" si="560"/>
        <v>글면증</v>
      </c>
      <c r="H4322" t="str">
        <f t="shared" si="561"/>
        <v>스토리위즈</v>
      </c>
      <c r="I4322" t="str">
        <f t="shared" si="562"/>
        <v>올마스터가 된 비전서고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70</v>
      </c>
      <c r="AT4322" t="str">
        <f t="shared" si="563"/>
        <v>9791137601314</v>
      </c>
      <c r="AV4322" t="str">
        <f t="shared" si="564"/>
        <v>판타지 웹소설 &gt; 퓨전 판타지</v>
      </c>
    </row>
    <row r="4323" spans="1:48" x14ac:dyDescent="0.4">
      <c r="A4323">
        <v>2313016617</v>
      </c>
      <c r="B4323">
        <v>2313016767</v>
      </c>
      <c r="C4323" t="str">
        <f>T("올마스터가 된 비전서고 151화")</f>
        <v>올마스터가 된 비전서고 151화</v>
      </c>
      <c r="D4323" t="str">
        <f>T("151")</f>
        <v>151</v>
      </c>
      <c r="E4323" t="str">
        <f t="shared" si="560"/>
        <v>글면증</v>
      </c>
      <c r="H4323" t="str">
        <f t="shared" si="561"/>
        <v>스토리위즈</v>
      </c>
      <c r="I4323" t="str">
        <f t="shared" si="562"/>
        <v>올마스터가 된 비전서고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70</v>
      </c>
      <c r="AT4323" t="str">
        <f t="shared" si="563"/>
        <v>9791137601314</v>
      </c>
      <c r="AV4323" t="str">
        <f t="shared" si="564"/>
        <v>판타지 웹소설 &gt; 퓨전 판타지</v>
      </c>
    </row>
    <row r="4324" spans="1:48" x14ac:dyDescent="0.4">
      <c r="A4324">
        <v>2313016617</v>
      </c>
      <c r="B4324">
        <v>2313016768</v>
      </c>
      <c r="C4324" t="str">
        <f>T("올마스터가 된 비전서고 152화")</f>
        <v>올마스터가 된 비전서고 152화</v>
      </c>
      <c r="D4324" t="str">
        <f>T("152")</f>
        <v>152</v>
      </c>
      <c r="E4324" t="str">
        <f t="shared" si="560"/>
        <v>글면증</v>
      </c>
      <c r="H4324" t="str">
        <f t="shared" si="561"/>
        <v>스토리위즈</v>
      </c>
      <c r="I4324" t="str">
        <f t="shared" si="562"/>
        <v>올마스터가 된 비전서고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70</v>
      </c>
      <c r="AT4324" t="str">
        <f t="shared" si="563"/>
        <v>9791137601314</v>
      </c>
      <c r="AV4324" t="str">
        <f t="shared" si="564"/>
        <v>판타지 웹소설 &gt; 퓨전 판타지</v>
      </c>
    </row>
    <row r="4325" spans="1:48" x14ac:dyDescent="0.4">
      <c r="A4325">
        <v>2313016617</v>
      </c>
      <c r="B4325">
        <v>2313016769</v>
      </c>
      <c r="C4325" t="str">
        <f>T("올마스터가 된 비전서고 153화")</f>
        <v>올마스터가 된 비전서고 153화</v>
      </c>
      <c r="D4325" t="str">
        <f>T("153")</f>
        <v>153</v>
      </c>
      <c r="E4325" t="str">
        <f t="shared" si="560"/>
        <v>글면증</v>
      </c>
      <c r="H4325" t="str">
        <f t="shared" si="561"/>
        <v>스토리위즈</v>
      </c>
      <c r="I4325" t="str">
        <f t="shared" si="562"/>
        <v>올마스터가 된 비전서고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70</v>
      </c>
      <c r="AT4325" t="str">
        <f t="shared" si="563"/>
        <v>9791137601314</v>
      </c>
      <c r="AV4325" t="str">
        <f t="shared" si="564"/>
        <v>판타지 웹소설 &gt; 퓨전 판타지</v>
      </c>
    </row>
    <row r="4326" spans="1:48" x14ac:dyDescent="0.4">
      <c r="A4326">
        <v>2313016617</v>
      </c>
      <c r="B4326">
        <v>2313016770</v>
      </c>
      <c r="C4326" t="str">
        <f>T("올마스터가 된 비전서고 154화")</f>
        <v>올마스터가 된 비전서고 154화</v>
      </c>
      <c r="D4326" t="str">
        <f>T("154")</f>
        <v>154</v>
      </c>
      <c r="E4326" t="str">
        <f t="shared" si="560"/>
        <v>글면증</v>
      </c>
      <c r="H4326" t="str">
        <f t="shared" si="561"/>
        <v>스토리위즈</v>
      </c>
      <c r="I4326" t="str">
        <f t="shared" si="562"/>
        <v>올마스터가 된 비전서고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70</v>
      </c>
      <c r="AT4326" t="str">
        <f t="shared" si="563"/>
        <v>9791137601314</v>
      </c>
      <c r="AV4326" t="str">
        <f t="shared" si="564"/>
        <v>판타지 웹소설 &gt; 퓨전 판타지</v>
      </c>
    </row>
    <row r="4327" spans="1:48" x14ac:dyDescent="0.4">
      <c r="A4327">
        <v>2313016617</v>
      </c>
      <c r="B4327">
        <v>2313016771</v>
      </c>
      <c r="C4327" t="str">
        <f>T("올마스터가 된 비전서고 155화")</f>
        <v>올마스터가 된 비전서고 155화</v>
      </c>
      <c r="D4327" t="str">
        <f>T("155")</f>
        <v>155</v>
      </c>
      <c r="E4327" t="str">
        <f t="shared" si="560"/>
        <v>글면증</v>
      </c>
      <c r="H4327" t="str">
        <f t="shared" si="561"/>
        <v>스토리위즈</v>
      </c>
      <c r="I4327" t="str">
        <f t="shared" si="562"/>
        <v>올마스터가 된 비전서고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70</v>
      </c>
      <c r="AT4327" t="str">
        <f t="shared" si="563"/>
        <v>9791137601314</v>
      </c>
      <c r="AV4327" t="str">
        <f t="shared" si="564"/>
        <v>판타지 웹소설 &gt; 퓨전 판타지</v>
      </c>
    </row>
    <row r="4328" spans="1:48" x14ac:dyDescent="0.4">
      <c r="A4328">
        <v>2313016617</v>
      </c>
      <c r="B4328">
        <v>2313016772</v>
      </c>
      <c r="C4328" t="str">
        <f>T("올마스터가 된 비전서고 156화")</f>
        <v>올마스터가 된 비전서고 156화</v>
      </c>
      <c r="D4328" t="str">
        <f>T("156")</f>
        <v>156</v>
      </c>
      <c r="E4328" t="str">
        <f t="shared" si="560"/>
        <v>글면증</v>
      </c>
      <c r="H4328" t="str">
        <f t="shared" si="561"/>
        <v>스토리위즈</v>
      </c>
      <c r="I4328" t="str">
        <f t="shared" si="562"/>
        <v>올마스터가 된 비전서고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70</v>
      </c>
      <c r="AT4328" t="str">
        <f t="shared" si="563"/>
        <v>9791137601314</v>
      </c>
      <c r="AV4328" t="str">
        <f t="shared" si="564"/>
        <v>판타지 웹소설 &gt; 퓨전 판타지</v>
      </c>
    </row>
    <row r="4329" spans="1:48" x14ac:dyDescent="0.4">
      <c r="A4329">
        <v>2313016617</v>
      </c>
      <c r="B4329">
        <v>2313016773</v>
      </c>
      <c r="C4329" t="str">
        <f>T("올마스터가 된 비전서고 157화")</f>
        <v>올마스터가 된 비전서고 157화</v>
      </c>
      <c r="D4329" t="str">
        <f>T("157")</f>
        <v>157</v>
      </c>
      <c r="E4329" t="str">
        <f t="shared" si="560"/>
        <v>글면증</v>
      </c>
      <c r="H4329" t="str">
        <f t="shared" si="561"/>
        <v>스토리위즈</v>
      </c>
      <c r="I4329" t="str">
        <f t="shared" si="562"/>
        <v>올마스터가 된 비전서고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70</v>
      </c>
      <c r="AT4329" t="str">
        <f t="shared" si="563"/>
        <v>9791137601314</v>
      </c>
      <c r="AV4329" t="str">
        <f t="shared" si="564"/>
        <v>판타지 웹소설 &gt; 퓨전 판타지</v>
      </c>
    </row>
    <row r="4330" spans="1:48" x14ac:dyDescent="0.4">
      <c r="A4330">
        <v>2313016617</v>
      </c>
      <c r="B4330">
        <v>2313016774</v>
      </c>
      <c r="C4330" t="str">
        <f>T("올마스터가 된 비전서고 158화")</f>
        <v>올마스터가 된 비전서고 158화</v>
      </c>
      <c r="D4330" t="str">
        <f>T("158")</f>
        <v>158</v>
      </c>
      <c r="E4330" t="str">
        <f t="shared" si="560"/>
        <v>글면증</v>
      </c>
      <c r="H4330" t="str">
        <f t="shared" si="561"/>
        <v>스토리위즈</v>
      </c>
      <c r="I4330" t="str">
        <f t="shared" si="562"/>
        <v>올마스터가 된 비전서고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70</v>
      </c>
      <c r="AT4330" t="str">
        <f t="shared" si="563"/>
        <v>9791137601314</v>
      </c>
      <c r="AV4330" t="str">
        <f t="shared" si="564"/>
        <v>판타지 웹소설 &gt; 퓨전 판타지</v>
      </c>
    </row>
    <row r="4331" spans="1:48" x14ac:dyDescent="0.4">
      <c r="A4331">
        <v>2313016617</v>
      </c>
      <c r="B4331">
        <v>2313016775</v>
      </c>
      <c r="C4331" t="str">
        <f>T("올마스터가 된 비전서고 159화")</f>
        <v>올마스터가 된 비전서고 159화</v>
      </c>
      <c r="D4331" t="str">
        <f>T("159")</f>
        <v>159</v>
      </c>
      <c r="E4331" t="str">
        <f t="shared" si="560"/>
        <v>글면증</v>
      </c>
      <c r="H4331" t="str">
        <f t="shared" si="561"/>
        <v>스토리위즈</v>
      </c>
      <c r="I4331" t="str">
        <f t="shared" si="562"/>
        <v>올마스터가 된 비전서고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70</v>
      </c>
      <c r="AT4331" t="str">
        <f t="shared" si="563"/>
        <v>9791137601314</v>
      </c>
      <c r="AV4331" t="str">
        <f t="shared" si="564"/>
        <v>판타지 웹소설 &gt; 퓨전 판타지</v>
      </c>
    </row>
    <row r="4332" spans="1:48" x14ac:dyDescent="0.4">
      <c r="A4332">
        <v>2313016617</v>
      </c>
      <c r="B4332">
        <v>2313016776</v>
      </c>
      <c r="C4332" t="str">
        <f>T("올마스터가 된 비전서고 160화")</f>
        <v>올마스터가 된 비전서고 160화</v>
      </c>
      <c r="D4332" t="str">
        <f>T("160")</f>
        <v>160</v>
      </c>
      <c r="E4332" t="str">
        <f t="shared" si="560"/>
        <v>글면증</v>
      </c>
      <c r="H4332" t="str">
        <f t="shared" si="561"/>
        <v>스토리위즈</v>
      </c>
      <c r="I4332" t="str">
        <f t="shared" si="562"/>
        <v>올마스터가 된 비전서고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70</v>
      </c>
      <c r="AT4332" t="str">
        <f t="shared" si="563"/>
        <v>9791137601314</v>
      </c>
      <c r="AV4332" t="str">
        <f t="shared" si="564"/>
        <v>판타지 웹소설 &gt; 퓨전 판타지</v>
      </c>
    </row>
    <row r="4333" spans="1:48" x14ac:dyDescent="0.4">
      <c r="A4333">
        <v>2313016617</v>
      </c>
      <c r="B4333">
        <v>2313016777</v>
      </c>
      <c r="C4333" t="str">
        <f>T("올마스터가 된 비전서고 161화")</f>
        <v>올마스터가 된 비전서고 161화</v>
      </c>
      <c r="D4333" t="str">
        <f>T("161")</f>
        <v>161</v>
      </c>
      <c r="E4333" t="str">
        <f t="shared" si="560"/>
        <v>글면증</v>
      </c>
      <c r="H4333" t="str">
        <f t="shared" si="561"/>
        <v>스토리위즈</v>
      </c>
      <c r="I4333" t="str">
        <f t="shared" si="562"/>
        <v>올마스터가 된 비전서고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70</v>
      </c>
      <c r="AT4333" t="str">
        <f t="shared" si="563"/>
        <v>9791137601314</v>
      </c>
      <c r="AV4333" t="str">
        <f t="shared" si="564"/>
        <v>판타지 웹소설 &gt; 퓨전 판타지</v>
      </c>
    </row>
    <row r="4334" spans="1:48" x14ac:dyDescent="0.4">
      <c r="A4334">
        <v>2313016617</v>
      </c>
      <c r="B4334">
        <v>2313016778</v>
      </c>
      <c r="C4334" t="str">
        <f>T("올마스터가 된 비전서고 162화")</f>
        <v>올마스터가 된 비전서고 162화</v>
      </c>
      <c r="D4334" t="str">
        <f>T("162")</f>
        <v>162</v>
      </c>
      <c r="E4334" t="str">
        <f t="shared" si="560"/>
        <v>글면증</v>
      </c>
      <c r="H4334" t="str">
        <f t="shared" si="561"/>
        <v>스토리위즈</v>
      </c>
      <c r="I4334" t="str">
        <f t="shared" si="562"/>
        <v>올마스터가 된 비전서고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70</v>
      </c>
      <c r="AT4334" t="str">
        <f t="shared" si="563"/>
        <v>9791137601314</v>
      </c>
      <c r="AV4334" t="str">
        <f t="shared" si="564"/>
        <v>판타지 웹소설 &gt; 퓨전 판타지</v>
      </c>
    </row>
    <row r="4335" spans="1:48" x14ac:dyDescent="0.4">
      <c r="A4335">
        <v>2313016617</v>
      </c>
      <c r="B4335">
        <v>2313016779</v>
      </c>
      <c r="C4335" t="str">
        <f>T("올마스터가 된 비전서고 163화")</f>
        <v>올마스터가 된 비전서고 163화</v>
      </c>
      <c r="D4335" t="str">
        <f>T("163")</f>
        <v>163</v>
      </c>
      <c r="E4335" t="str">
        <f t="shared" si="560"/>
        <v>글면증</v>
      </c>
      <c r="H4335" t="str">
        <f t="shared" si="561"/>
        <v>스토리위즈</v>
      </c>
      <c r="I4335" t="str">
        <f t="shared" si="562"/>
        <v>올마스터가 된 비전서고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70</v>
      </c>
      <c r="AT4335" t="str">
        <f t="shared" si="563"/>
        <v>9791137601314</v>
      </c>
      <c r="AV4335" t="str">
        <f t="shared" si="564"/>
        <v>판타지 웹소설 &gt; 퓨전 판타지</v>
      </c>
    </row>
    <row r="4336" spans="1:48" x14ac:dyDescent="0.4">
      <c r="A4336">
        <v>2313016617</v>
      </c>
      <c r="B4336">
        <v>2313016780</v>
      </c>
      <c r="C4336" t="str">
        <f>T("올마스터가 된 비전서고 164화")</f>
        <v>올마스터가 된 비전서고 164화</v>
      </c>
      <c r="D4336" t="str">
        <f>T("164")</f>
        <v>164</v>
      </c>
      <c r="E4336" t="str">
        <f t="shared" si="560"/>
        <v>글면증</v>
      </c>
      <c r="H4336" t="str">
        <f t="shared" si="561"/>
        <v>스토리위즈</v>
      </c>
      <c r="I4336" t="str">
        <f t="shared" si="562"/>
        <v>올마스터가 된 비전서고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70</v>
      </c>
      <c r="AT4336" t="str">
        <f t="shared" si="563"/>
        <v>9791137601314</v>
      </c>
      <c r="AV4336" t="str">
        <f t="shared" si="564"/>
        <v>판타지 웹소설 &gt; 퓨전 판타지</v>
      </c>
    </row>
    <row r="4337" spans="1:48" x14ac:dyDescent="0.4">
      <c r="A4337">
        <v>2313016617</v>
      </c>
      <c r="B4337">
        <v>2313016781</v>
      </c>
      <c r="C4337" t="str">
        <f>T("올마스터가 된 비전서고 165화")</f>
        <v>올마스터가 된 비전서고 165화</v>
      </c>
      <c r="D4337" t="str">
        <f>T("165")</f>
        <v>165</v>
      </c>
      <c r="E4337" t="str">
        <f t="shared" si="560"/>
        <v>글면증</v>
      </c>
      <c r="H4337" t="str">
        <f t="shared" si="561"/>
        <v>스토리위즈</v>
      </c>
      <c r="I4337" t="str">
        <f t="shared" si="562"/>
        <v>올마스터가 된 비전서고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70</v>
      </c>
      <c r="AT4337" t="str">
        <f t="shared" si="563"/>
        <v>9791137601314</v>
      </c>
      <c r="AV4337" t="str">
        <f t="shared" si="564"/>
        <v>판타지 웹소설 &gt; 퓨전 판타지</v>
      </c>
    </row>
    <row r="4338" spans="1:48" x14ac:dyDescent="0.4">
      <c r="A4338">
        <v>2313016617</v>
      </c>
      <c r="B4338">
        <v>2313016782</v>
      </c>
      <c r="C4338" t="str">
        <f>T("올마스터가 된 비전서고 166화")</f>
        <v>올마스터가 된 비전서고 166화</v>
      </c>
      <c r="D4338" t="str">
        <f>T("166")</f>
        <v>166</v>
      </c>
      <c r="E4338" t="str">
        <f t="shared" si="560"/>
        <v>글면증</v>
      </c>
      <c r="H4338" t="str">
        <f t="shared" si="561"/>
        <v>스토리위즈</v>
      </c>
      <c r="I4338" t="str">
        <f t="shared" si="562"/>
        <v>올마스터가 된 비전서고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70</v>
      </c>
      <c r="AT4338" t="str">
        <f t="shared" si="563"/>
        <v>9791137601314</v>
      </c>
      <c r="AV4338" t="str">
        <f t="shared" si="564"/>
        <v>판타지 웹소설 &gt; 퓨전 판타지</v>
      </c>
    </row>
    <row r="4339" spans="1:48" x14ac:dyDescent="0.4">
      <c r="A4339">
        <v>2313016617</v>
      </c>
      <c r="B4339">
        <v>2313016783</v>
      </c>
      <c r="C4339" t="str">
        <f>T("올마스터가 된 비전서고 167화")</f>
        <v>올마스터가 된 비전서고 167화</v>
      </c>
      <c r="D4339" t="str">
        <f>T("167")</f>
        <v>167</v>
      </c>
      <c r="E4339" t="str">
        <f t="shared" si="560"/>
        <v>글면증</v>
      </c>
      <c r="H4339" t="str">
        <f t="shared" si="561"/>
        <v>스토리위즈</v>
      </c>
      <c r="I4339" t="str">
        <f t="shared" si="562"/>
        <v>올마스터가 된 비전서고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70</v>
      </c>
      <c r="AT4339" t="str">
        <f t="shared" si="563"/>
        <v>9791137601314</v>
      </c>
      <c r="AV4339" t="str">
        <f t="shared" si="564"/>
        <v>판타지 웹소설 &gt; 퓨전 판타지</v>
      </c>
    </row>
    <row r="4340" spans="1:48" x14ac:dyDescent="0.4">
      <c r="A4340">
        <v>2313016617</v>
      </c>
      <c r="B4340">
        <v>2313016784</v>
      </c>
      <c r="C4340" t="str">
        <f>T("올마스터가 된 비전서고 168화")</f>
        <v>올마스터가 된 비전서고 168화</v>
      </c>
      <c r="D4340" t="str">
        <f>T("168")</f>
        <v>168</v>
      </c>
      <c r="E4340" t="str">
        <f t="shared" si="560"/>
        <v>글면증</v>
      </c>
      <c r="H4340" t="str">
        <f t="shared" si="561"/>
        <v>스토리위즈</v>
      </c>
      <c r="I4340" t="str">
        <f t="shared" si="562"/>
        <v>올마스터가 된 비전서고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70</v>
      </c>
      <c r="AT4340" t="str">
        <f t="shared" si="563"/>
        <v>9791137601314</v>
      </c>
      <c r="AV4340" t="str">
        <f t="shared" si="564"/>
        <v>판타지 웹소설 &gt; 퓨전 판타지</v>
      </c>
    </row>
    <row r="4341" spans="1:48" x14ac:dyDescent="0.4">
      <c r="A4341">
        <v>2313016617</v>
      </c>
      <c r="B4341">
        <v>2313016785</v>
      </c>
      <c r="C4341" t="str">
        <f>T("올마스터가 된 비전서고 169화")</f>
        <v>올마스터가 된 비전서고 169화</v>
      </c>
      <c r="D4341" t="str">
        <f>T("169")</f>
        <v>169</v>
      </c>
      <c r="E4341" t="str">
        <f t="shared" si="560"/>
        <v>글면증</v>
      </c>
      <c r="H4341" t="str">
        <f t="shared" si="561"/>
        <v>스토리위즈</v>
      </c>
      <c r="I4341" t="str">
        <f t="shared" si="562"/>
        <v>올마스터가 된 비전서고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70</v>
      </c>
      <c r="AT4341" t="str">
        <f t="shared" si="563"/>
        <v>9791137601314</v>
      </c>
      <c r="AV4341" t="str">
        <f t="shared" si="564"/>
        <v>판타지 웹소설 &gt; 퓨전 판타지</v>
      </c>
    </row>
    <row r="4342" spans="1:48" x14ac:dyDescent="0.4">
      <c r="A4342">
        <v>2313016617</v>
      </c>
      <c r="B4342">
        <v>2313016786</v>
      </c>
      <c r="C4342" t="str">
        <f>T("올마스터가 된 비전서고 170화")</f>
        <v>올마스터가 된 비전서고 170화</v>
      </c>
      <c r="D4342" t="str">
        <f>T("170")</f>
        <v>170</v>
      </c>
      <c r="E4342" t="str">
        <f t="shared" si="560"/>
        <v>글면증</v>
      </c>
      <c r="H4342" t="str">
        <f t="shared" si="561"/>
        <v>스토리위즈</v>
      </c>
      <c r="I4342" t="str">
        <f t="shared" si="562"/>
        <v>올마스터가 된 비전서고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70</v>
      </c>
      <c r="AT4342" t="str">
        <f t="shared" si="563"/>
        <v>9791137601314</v>
      </c>
      <c r="AV4342" t="str">
        <f t="shared" si="564"/>
        <v>판타지 웹소설 &gt; 퓨전 판타지</v>
      </c>
    </row>
    <row r="4343" spans="1:48" x14ac:dyDescent="0.4">
      <c r="A4343">
        <v>2313016617</v>
      </c>
      <c r="B4343">
        <v>2313016787</v>
      </c>
      <c r="C4343" t="str">
        <f>T("올마스터가 된 비전서고 171화")</f>
        <v>올마스터가 된 비전서고 171화</v>
      </c>
      <c r="D4343" t="str">
        <f>T("171")</f>
        <v>171</v>
      </c>
      <c r="E4343" t="str">
        <f t="shared" si="560"/>
        <v>글면증</v>
      </c>
      <c r="H4343" t="str">
        <f t="shared" si="561"/>
        <v>스토리위즈</v>
      </c>
      <c r="I4343" t="str">
        <f t="shared" si="562"/>
        <v>올마스터가 된 비전서고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70</v>
      </c>
      <c r="AT4343" t="str">
        <f t="shared" si="563"/>
        <v>9791137601314</v>
      </c>
      <c r="AV4343" t="str">
        <f t="shared" si="564"/>
        <v>판타지 웹소설 &gt; 퓨전 판타지</v>
      </c>
    </row>
    <row r="4344" spans="1:48" x14ac:dyDescent="0.4">
      <c r="A4344">
        <v>2313016617</v>
      </c>
      <c r="B4344">
        <v>2313016788</v>
      </c>
      <c r="C4344" t="str">
        <f>T("올마스터가 된 비전서고 172화")</f>
        <v>올마스터가 된 비전서고 172화</v>
      </c>
      <c r="D4344" t="str">
        <f>T("172")</f>
        <v>172</v>
      </c>
      <c r="E4344" t="str">
        <f t="shared" si="560"/>
        <v>글면증</v>
      </c>
      <c r="H4344" t="str">
        <f t="shared" si="561"/>
        <v>스토리위즈</v>
      </c>
      <c r="I4344" t="str">
        <f t="shared" si="562"/>
        <v>올마스터가 된 비전서고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70</v>
      </c>
      <c r="AT4344" t="str">
        <f t="shared" si="563"/>
        <v>9791137601314</v>
      </c>
      <c r="AV4344" t="str">
        <f t="shared" si="564"/>
        <v>판타지 웹소설 &gt; 퓨전 판타지</v>
      </c>
    </row>
    <row r="4345" spans="1:48" x14ac:dyDescent="0.4">
      <c r="A4345">
        <v>2313016617</v>
      </c>
      <c r="B4345">
        <v>2313016789</v>
      </c>
      <c r="C4345" t="str">
        <f>T("올마스터가 된 비전서고 173화")</f>
        <v>올마스터가 된 비전서고 173화</v>
      </c>
      <c r="D4345" t="str">
        <f>T("173")</f>
        <v>173</v>
      </c>
      <c r="E4345" t="str">
        <f t="shared" ref="E4345:E4372" si="565">T("글면증")</f>
        <v>글면증</v>
      </c>
      <c r="H4345" t="str">
        <f t="shared" ref="H4345:H4375" si="566">T("스토리위즈")</f>
        <v>스토리위즈</v>
      </c>
      <c r="I4345" t="str">
        <f t="shared" ref="I4345:I4372" si="567">T("올마스터가 된 비전서고")</f>
        <v>올마스터가 된 비전서고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70</v>
      </c>
      <c r="AT4345" t="str">
        <f t="shared" ref="AT4345:AT4372" si="568">T("9791137601314")</f>
        <v>9791137601314</v>
      </c>
      <c r="AV4345" t="str">
        <f t="shared" si="564"/>
        <v>판타지 웹소설 &gt; 퓨전 판타지</v>
      </c>
    </row>
    <row r="4346" spans="1:48" x14ac:dyDescent="0.4">
      <c r="A4346">
        <v>2313016617</v>
      </c>
      <c r="B4346">
        <v>2313016790</v>
      </c>
      <c r="C4346" t="str">
        <f>T("올마스터가 된 비전서고 174화")</f>
        <v>올마스터가 된 비전서고 174화</v>
      </c>
      <c r="D4346" t="str">
        <f>T("174")</f>
        <v>174</v>
      </c>
      <c r="E4346" t="str">
        <f t="shared" si="565"/>
        <v>글면증</v>
      </c>
      <c r="H4346" t="str">
        <f t="shared" si="566"/>
        <v>스토리위즈</v>
      </c>
      <c r="I4346" t="str">
        <f t="shared" si="567"/>
        <v>올마스터가 된 비전서고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70</v>
      </c>
      <c r="AT4346" t="str">
        <f t="shared" si="568"/>
        <v>9791137601314</v>
      </c>
      <c r="AV4346" t="str">
        <f t="shared" si="564"/>
        <v>판타지 웹소설 &gt; 퓨전 판타지</v>
      </c>
    </row>
    <row r="4347" spans="1:48" x14ac:dyDescent="0.4">
      <c r="A4347">
        <v>2313016617</v>
      </c>
      <c r="B4347">
        <v>2313016791</v>
      </c>
      <c r="C4347" t="str">
        <f>T("올마스터가 된 비전서고 175화")</f>
        <v>올마스터가 된 비전서고 175화</v>
      </c>
      <c r="D4347" t="str">
        <f>T("175")</f>
        <v>175</v>
      </c>
      <c r="E4347" t="str">
        <f t="shared" si="565"/>
        <v>글면증</v>
      </c>
      <c r="H4347" t="str">
        <f t="shared" si="566"/>
        <v>스토리위즈</v>
      </c>
      <c r="I4347" t="str">
        <f t="shared" si="567"/>
        <v>올마스터가 된 비전서고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70</v>
      </c>
      <c r="AT4347" t="str">
        <f t="shared" si="568"/>
        <v>9791137601314</v>
      </c>
      <c r="AV4347" t="str">
        <f t="shared" si="564"/>
        <v>판타지 웹소설 &gt; 퓨전 판타지</v>
      </c>
    </row>
    <row r="4348" spans="1:48" x14ac:dyDescent="0.4">
      <c r="A4348">
        <v>2313016617</v>
      </c>
      <c r="B4348">
        <v>2313016792</v>
      </c>
      <c r="C4348" t="str">
        <f>T("올마스터가 된 비전서고 176화")</f>
        <v>올마스터가 된 비전서고 176화</v>
      </c>
      <c r="D4348" t="str">
        <f>T("176")</f>
        <v>176</v>
      </c>
      <c r="E4348" t="str">
        <f t="shared" si="565"/>
        <v>글면증</v>
      </c>
      <c r="H4348" t="str">
        <f t="shared" si="566"/>
        <v>스토리위즈</v>
      </c>
      <c r="I4348" t="str">
        <f t="shared" si="567"/>
        <v>올마스터가 된 비전서고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70</v>
      </c>
      <c r="AT4348" t="str">
        <f t="shared" si="568"/>
        <v>9791137601314</v>
      </c>
      <c r="AV4348" t="str">
        <f t="shared" si="564"/>
        <v>판타지 웹소설 &gt; 퓨전 판타지</v>
      </c>
    </row>
    <row r="4349" spans="1:48" x14ac:dyDescent="0.4">
      <c r="A4349">
        <v>2313016617</v>
      </c>
      <c r="B4349">
        <v>2313016793</v>
      </c>
      <c r="C4349" t="str">
        <f>T("올마스터가 된 비전서고 177화")</f>
        <v>올마스터가 된 비전서고 177화</v>
      </c>
      <c r="D4349" t="str">
        <f>T("177")</f>
        <v>177</v>
      </c>
      <c r="E4349" t="str">
        <f t="shared" si="565"/>
        <v>글면증</v>
      </c>
      <c r="H4349" t="str">
        <f t="shared" si="566"/>
        <v>스토리위즈</v>
      </c>
      <c r="I4349" t="str">
        <f t="shared" si="567"/>
        <v>올마스터가 된 비전서고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70</v>
      </c>
      <c r="AT4349" t="str">
        <f t="shared" si="568"/>
        <v>9791137601314</v>
      </c>
      <c r="AV4349" t="str">
        <f t="shared" si="564"/>
        <v>판타지 웹소설 &gt; 퓨전 판타지</v>
      </c>
    </row>
    <row r="4350" spans="1:48" x14ac:dyDescent="0.4">
      <c r="A4350">
        <v>2313016617</v>
      </c>
      <c r="B4350">
        <v>2313016794</v>
      </c>
      <c r="C4350" t="str">
        <f>T("올마스터가 된 비전서고 178화")</f>
        <v>올마스터가 된 비전서고 178화</v>
      </c>
      <c r="D4350" t="str">
        <f>T("178")</f>
        <v>178</v>
      </c>
      <c r="E4350" t="str">
        <f t="shared" si="565"/>
        <v>글면증</v>
      </c>
      <c r="H4350" t="str">
        <f t="shared" si="566"/>
        <v>스토리위즈</v>
      </c>
      <c r="I4350" t="str">
        <f t="shared" si="567"/>
        <v>올마스터가 된 비전서고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70</v>
      </c>
      <c r="AT4350" t="str">
        <f t="shared" si="568"/>
        <v>9791137601314</v>
      </c>
      <c r="AV4350" t="str">
        <f t="shared" si="564"/>
        <v>판타지 웹소설 &gt; 퓨전 판타지</v>
      </c>
    </row>
    <row r="4351" spans="1:48" x14ac:dyDescent="0.4">
      <c r="A4351">
        <v>2313016617</v>
      </c>
      <c r="B4351">
        <v>2313016795</v>
      </c>
      <c r="C4351" t="str">
        <f>T("올마스터가 된 비전서고 179화")</f>
        <v>올마스터가 된 비전서고 179화</v>
      </c>
      <c r="D4351" t="str">
        <f>T("179")</f>
        <v>179</v>
      </c>
      <c r="E4351" t="str">
        <f t="shared" si="565"/>
        <v>글면증</v>
      </c>
      <c r="H4351" t="str">
        <f t="shared" si="566"/>
        <v>스토리위즈</v>
      </c>
      <c r="I4351" t="str">
        <f t="shared" si="567"/>
        <v>올마스터가 된 비전서고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70</v>
      </c>
      <c r="AT4351" t="str">
        <f t="shared" si="568"/>
        <v>9791137601314</v>
      </c>
      <c r="AV4351" t="str">
        <f t="shared" si="564"/>
        <v>판타지 웹소설 &gt; 퓨전 판타지</v>
      </c>
    </row>
    <row r="4352" spans="1:48" x14ac:dyDescent="0.4">
      <c r="A4352">
        <v>2313016617</v>
      </c>
      <c r="B4352">
        <v>2313016796</v>
      </c>
      <c r="C4352" t="str">
        <f>T("올마스터가 된 비전서고 180화")</f>
        <v>올마스터가 된 비전서고 180화</v>
      </c>
      <c r="D4352" t="str">
        <f>T("180")</f>
        <v>180</v>
      </c>
      <c r="E4352" t="str">
        <f t="shared" si="565"/>
        <v>글면증</v>
      </c>
      <c r="H4352" t="str">
        <f t="shared" si="566"/>
        <v>스토리위즈</v>
      </c>
      <c r="I4352" t="str">
        <f t="shared" si="567"/>
        <v>올마스터가 된 비전서고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70</v>
      </c>
      <c r="AT4352" t="str">
        <f t="shared" si="568"/>
        <v>9791137601314</v>
      </c>
      <c r="AV4352" t="str">
        <f t="shared" si="564"/>
        <v>판타지 웹소설 &gt; 퓨전 판타지</v>
      </c>
    </row>
    <row r="4353" spans="1:48" x14ac:dyDescent="0.4">
      <c r="A4353">
        <v>2313016617</v>
      </c>
      <c r="B4353">
        <v>2313016797</v>
      </c>
      <c r="C4353" t="str">
        <f>T("올마스터가 된 비전서고 181화")</f>
        <v>올마스터가 된 비전서고 181화</v>
      </c>
      <c r="D4353" t="str">
        <f>T("181")</f>
        <v>181</v>
      </c>
      <c r="E4353" t="str">
        <f t="shared" si="565"/>
        <v>글면증</v>
      </c>
      <c r="H4353" t="str">
        <f t="shared" si="566"/>
        <v>스토리위즈</v>
      </c>
      <c r="I4353" t="str">
        <f t="shared" si="567"/>
        <v>올마스터가 된 비전서고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70</v>
      </c>
      <c r="AT4353" t="str">
        <f t="shared" si="568"/>
        <v>9791137601314</v>
      </c>
      <c r="AV4353" t="str">
        <f t="shared" si="564"/>
        <v>판타지 웹소설 &gt; 퓨전 판타지</v>
      </c>
    </row>
    <row r="4354" spans="1:48" x14ac:dyDescent="0.4">
      <c r="A4354">
        <v>2313016617</v>
      </c>
      <c r="B4354">
        <v>2313016798</v>
      </c>
      <c r="C4354" t="str">
        <f>T("올마스터가 된 비전서고 182화")</f>
        <v>올마스터가 된 비전서고 182화</v>
      </c>
      <c r="D4354" t="str">
        <f>T("182")</f>
        <v>182</v>
      </c>
      <c r="E4354" t="str">
        <f t="shared" si="565"/>
        <v>글면증</v>
      </c>
      <c r="H4354" t="str">
        <f t="shared" si="566"/>
        <v>스토리위즈</v>
      </c>
      <c r="I4354" t="str">
        <f t="shared" si="567"/>
        <v>올마스터가 된 비전서고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70</v>
      </c>
      <c r="AT4354" t="str">
        <f t="shared" si="568"/>
        <v>9791137601314</v>
      </c>
      <c r="AV4354" t="str">
        <f t="shared" si="564"/>
        <v>판타지 웹소설 &gt; 퓨전 판타지</v>
      </c>
    </row>
    <row r="4355" spans="1:48" x14ac:dyDescent="0.4">
      <c r="A4355">
        <v>2313016617</v>
      </c>
      <c r="B4355">
        <v>2313016799</v>
      </c>
      <c r="C4355" t="str">
        <f>T("올마스터가 된 비전서고 183화")</f>
        <v>올마스터가 된 비전서고 183화</v>
      </c>
      <c r="D4355" t="str">
        <f>T("183")</f>
        <v>183</v>
      </c>
      <c r="E4355" t="str">
        <f t="shared" si="565"/>
        <v>글면증</v>
      </c>
      <c r="H4355" t="str">
        <f t="shared" si="566"/>
        <v>스토리위즈</v>
      </c>
      <c r="I4355" t="str">
        <f t="shared" si="567"/>
        <v>올마스터가 된 비전서고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70</v>
      </c>
      <c r="AT4355" t="str">
        <f t="shared" si="568"/>
        <v>9791137601314</v>
      </c>
      <c r="AV4355" t="str">
        <f t="shared" si="564"/>
        <v>판타지 웹소설 &gt; 퓨전 판타지</v>
      </c>
    </row>
    <row r="4356" spans="1:48" x14ac:dyDescent="0.4">
      <c r="A4356">
        <v>2313016617</v>
      </c>
      <c r="B4356">
        <v>2313016800</v>
      </c>
      <c r="C4356" t="str">
        <f>T("올마스터가 된 비전서고 184화")</f>
        <v>올마스터가 된 비전서고 184화</v>
      </c>
      <c r="D4356" t="str">
        <f>T("184")</f>
        <v>184</v>
      </c>
      <c r="E4356" t="str">
        <f t="shared" si="565"/>
        <v>글면증</v>
      </c>
      <c r="H4356" t="str">
        <f t="shared" si="566"/>
        <v>스토리위즈</v>
      </c>
      <c r="I4356" t="str">
        <f t="shared" si="567"/>
        <v>올마스터가 된 비전서고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70</v>
      </c>
      <c r="AT4356" t="str">
        <f t="shared" si="568"/>
        <v>9791137601314</v>
      </c>
      <c r="AV4356" t="str">
        <f t="shared" si="564"/>
        <v>판타지 웹소설 &gt; 퓨전 판타지</v>
      </c>
    </row>
    <row r="4357" spans="1:48" x14ac:dyDescent="0.4">
      <c r="A4357">
        <v>2313016617</v>
      </c>
      <c r="B4357">
        <v>2313016801</v>
      </c>
      <c r="C4357" t="str">
        <f>T("올마스터가 된 비전서고 185화")</f>
        <v>올마스터가 된 비전서고 185화</v>
      </c>
      <c r="D4357" t="str">
        <f>T("185")</f>
        <v>185</v>
      </c>
      <c r="E4357" t="str">
        <f t="shared" si="565"/>
        <v>글면증</v>
      </c>
      <c r="H4357" t="str">
        <f t="shared" si="566"/>
        <v>스토리위즈</v>
      </c>
      <c r="I4357" t="str">
        <f t="shared" si="567"/>
        <v>올마스터가 된 비전서고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70</v>
      </c>
      <c r="AT4357" t="str">
        <f t="shared" si="568"/>
        <v>9791137601314</v>
      </c>
      <c r="AV4357" t="str">
        <f t="shared" si="564"/>
        <v>판타지 웹소설 &gt; 퓨전 판타지</v>
      </c>
    </row>
    <row r="4358" spans="1:48" x14ac:dyDescent="0.4">
      <c r="A4358">
        <v>2313016617</v>
      </c>
      <c r="B4358">
        <v>2313016802</v>
      </c>
      <c r="C4358" t="str">
        <f>T("올마스터가 된 비전서고 186화")</f>
        <v>올마스터가 된 비전서고 186화</v>
      </c>
      <c r="D4358" t="str">
        <f>T("186")</f>
        <v>186</v>
      </c>
      <c r="E4358" t="str">
        <f t="shared" si="565"/>
        <v>글면증</v>
      </c>
      <c r="H4358" t="str">
        <f t="shared" si="566"/>
        <v>스토리위즈</v>
      </c>
      <c r="I4358" t="str">
        <f t="shared" si="567"/>
        <v>올마스터가 된 비전서고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70</v>
      </c>
      <c r="AT4358" t="str">
        <f t="shared" si="568"/>
        <v>9791137601314</v>
      </c>
      <c r="AV4358" t="str">
        <f t="shared" si="564"/>
        <v>판타지 웹소설 &gt; 퓨전 판타지</v>
      </c>
    </row>
    <row r="4359" spans="1:48" x14ac:dyDescent="0.4">
      <c r="A4359">
        <v>2313016617</v>
      </c>
      <c r="B4359">
        <v>2313016803</v>
      </c>
      <c r="C4359" t="str">
        <f>T("올마스터가 된 비전서고 187화")</f>
        <v>올마스터가 된 비전서고 187화</v>
      </c>
      <c r="D4359" t="str">
        <f>T("187")</f>
        <v>187</v>
      </c>
      <c r="E4359" t="str">
        <f t="shared" si="565"/>
        <v>글면증</v>
      </c>
      <c r="H4359" t="str">
        <f t="shared" si="566"/>
        <v>스토리위즈</v>
      </c>
      <c r="I4359" t="str">
        <f t="shared" si="567"/>
        <v>올마스터가 된 비전서고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70</v>
      </c>
      <c r="AT4359" t="str">
        <f t="shared" si="568"/>
        <v>9791137601314</v>
      </c>
      <c r="AV4359" t="str">
        <f t="shared" si="564"/>
        <v>판타지 웹소설 &gt; 퓨전 판타지</v>
      </c>
    </row>
    <row r="4360" spans="1:48" x14ac:dyDescent="0.4">
      <c r="A4360">
        <v>2313016617</v>
      </c>
      <c r="B4360">
        <v>2313016804</v>
      </c>
      <c r="C4360" t="str">
        <f>T("올마스터가 된 비전서고 188화")</f>
        <v>올마스터가 된 비전서고 188화</v>
      </c>
      <c r="D4360" t="str">
        <f>T("188")</f>
        <v>188</v>
      </c>
      <c r="E4360" t="str">
        <f t="shared" si="565"/>
        <v>글면증</v>
      </c>
      <c r="H4360" t="str">
        <f t="shared" si="566"/>
        <v>스토리위즈</v>
      </c>
      <c r="I4360" t="str">
        <f t="shared" si="567"/>
        <v>올마스터가 된 비전서고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70</v>
      </c>
      <c r="AT4360" t="str">
        <f t="shared" si="568"/>
        <v>9791137601314</v>
      </c>
      <c r="AV4360" t="str">
        <f t="shared" si="564"/>
        <v>판타지 웹소설 &gt; 퓨전 판타지</v>
      </c>
    </row>
    <row r="4361" spans="1:48" x14ac:dyDescent="0.4">
      <c r="A4361">
        <v>2313016617</v>
      </c>
      <c r="B4361">
        <v>2313016805</v>
      </c>
      <c r="C4361" t="str">
        <f>T("올마스터가 된 비전서고 189화")</f>
        <v>올마스터가 된 비전서고 189화</v>
      </c>
      <c r="D4361" t="str">
        <f>T("189")</f>
        <v>189</v>
      </c>
      <c r="E4361" t="str">
        <f t="shared" si="565"/>
        <v>글면증</v>
      </c>
      <c r="H4361" t="str">
        <f t="shared" si="566"/>
        <v>스토리위즈</v>
      </c>
      <c r="I4361" t="str">
        <f t="shared" si="567"/>
        <v>올마스터가 된 비전서고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70</v>
      </c>
      <c r="AT4361" t="str">
        <f t="shared" si="568"/>
        <v>9791137601314</v>
      </c>
      <c r="AV4361" t="str">
        <f t="shared" si="564"/>
        <v>판타지 웹소설 &gt; 퓨전 판타지</v>
      </c>
    </row>
    <row r="4362" spans="1:48" x14ac:dyDescent="0.4">
      <c r="A4362">
        <v>2313016617</v>
      </c>
      <c r="B4362">
        <v>2313016806</v>
      </c>
      <c r="C4362" t="str">
        <f>T("올마스터가 된 비전서고 190화")</f>
        <v>올마스터가 된 비전서고 190화</v>
      </c>
      <c r="D4362" t="str">
        <f>T("190")</f>
        <v>190</v>
      </c>
      <c r="E4362" t="str">
        <f t="shared" si="565"/>
        <v>글면증</v>
      </c>
      <c r="H4362" t="str">
        <f t="shared" si="566"/>
        <v>스토리위즈</v>
      </c>
      <c r="I4362" t="str">
        <f t="shared" si="567"/>
        <v>올마스터가 된 비전서고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70</v>
      </c>
      <c r="AT4362" t="str">
        <f t="shared" si="568"/>
        <v>9791137601314</v>
      </c>
      <c r="AV4362" t="str">
        <f t="shared" si="564"/>
        <v>판타지 웹소설 &gt; 퓨전 판타지</v>
      </c>
    </row>
    <row r="4363" spans="1:48" x14ac:dyDescent="0.4">
      <c r="A4363">
        <v>2313016617</v>
      </c>
      <c r="B4363">
        <v>2313016807</v>
      </c>
      <c r="C4363" t="str">
        <f>T("올마스터가 된 비전서고 191화")</f>
        <v>올마스터가 된 비전서고 191화</v>
      </c>
      <c r="D4363" t="str">
        <f>T("191")</f>
        <v>191</v>
      </c>
      <c r="E4363" t="str">
        <f t="shared" si="565"/>
        <v>글면증</v>
      </c>
      <c r="H4363" t="str">
        <f t="shared" si="566"/>
        <v>스토리위즈</v>
      </c>
      <c r="I4363" t="str">
        <f t="shared" si="567"/>
        <v>올마스터가 된 비전서고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70</v>
      </c>
      <c r="AT4363" t="str">
        <f t="shared" si="568"/>
        <v>9791137601314</v>
      </c>
      <c r="AV4363" t="str">
        <f t="shared" si="564"/>
        <v>판타지 웹소설 &gt; 퓨전 판타지</v>
      </c>
    </row>
    <row r="4364" spans="1:48" x14ac:dyDescent="0.4">
      <c r="A4364">
        <v>2313016617</v>
      </c>
      <c r="B4364">
        <v>2313016808</v>
      </c>
      <c r="C4364" t="str">
        <f>T("올마스터가 된 비전서고 192화")</f>
        <v>올마스터가 된 비전서고 192화</v>
      </c>
      <c r="D4364" t="str">
        <f>T("192")</f>
        <v>192</v>
      </c>
      <c r="E4364" t="str">
        <f t="shared" si="565"/>
        <v>글면증</v>
      </c>
      <c r="H4364" t="str">
        <f t="shared" si="566"/>
        <v>스토리위즈</v>
      </c>
      <c r="I4364" t="str">
        <f t="shared" si="567"/>
        <v>올마스터가 된 비전서고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70</v>
      </c>
      <c r="AT4364" t="str">
        <f t="shared" si="568"/>
        <v>9791137601314</v>
      </c>
      <c r="AV4364" t="str">
        <f t="shared" si="564"/>
        <v>판타지 웹소설 &gt; 퓨전 판타지</v>
      </c>
    </row>
    <row r="4365" spans="1:48" x14ac:dyDescent="0.4">
      <c r="A4365">
        <v>2313016617</v>
      </c>
      <c r="B4365">
        <v>2313016809</v>
      </c>
      <c r="C4365" t="str">
        <f>T("올마스터가 된 비전서고 193화")</f>
        <v>올마스터가 된 비전서고 193화</v>
      </c>
      <c r="D4365" t="str">
        <f>T("193")</f>
        <v>193</v>
      </c>
      <c r="E4365" t="str">
        <f t="shared" si="565"/>
        <v>글면증</v>
      </c>
      <c r="H4365" t="str">
        <f t="shared" si="566"/>
        <v>스토리위즈</v>
      </c>
      <c r="I4365" t="str">
        <f t="shared" si="567"/>
        <v>올마스터가 된 비전서고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70</v>
      </c>
      <c r="AT4365" t="str">
        <f t="shared" si="568"/>
        <v>9791137601314</v>
      </c>
      <c r="AV4365" t="str">
        <f t="shared" si="564"/>
        <v>판타지 웹소설 &gt; 퓨전 판타지</v>
      </c>
    </row>
    <row r="4366" spans="1:48" x14ac:dyDescent="0.4">
      <c r="A4366">
        <v>2313016617</v>
      </c>
      <c r="B4366">
        <v>2313016810</v>
      </c>
      <c r="C4366" t="str">
        <f>T("올마스터가 된 비전서고 194화")</f>
        <v>올마스터가 된 비전서고 194화</v>
      </c>
      <c r="D4366" t="str">
        <f>T("194")</f>
        <v>194</v>
      </c>
      <c r="E4366" t="str">
        <f t="shared" si="565"/>
        <v>글면증</v>
      </c>
      <c r="H4366" t="str">
        <f t="shared" si="566"/>
        <v>스토리위즈</v>
      </c>
      <c r="I4366" t="str">
        <f t="shared" si="567"/>
        <v>올마스터가 된 비전서고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70</v>
      </c>
      <c r="AT4366" t="str">
        <f t="shared" si="568"/>
        <v>9791137601314</v>
      </c>
      <c r="AV4366" t="str">
        <f t="shared" si="564"/>
        <v>판타지 웹소설 &gt; 퓨전 판타지</v>
      </c>
    </row>
    <row r="4367" spans="1:48" x14ac:dyDescent="0.4">
      <c r="A4367">
        <v>2313016617</v>
      </c>
      <c r="B4367">
        <v>2313016811</v>
      </c>
      <c r="C4367" t="str">
        <f>T("올마스터가 된 비전서고 195화")</f>
        <v>올마스터가 된 비전서고 195화</v>
      </c>
      <c r="D4367" t="str">
        <f>T("195")</f>
        <v>195</v>
      </c>
      <c r="E4367" t="str">
        <f t="shared" si="565"/>
        <v>글면증</v>
      </c>
      <c r="H4367" t="str">
        <f t="shared" si="566"/>
        <v>스토리위즈</v>
      </c>
      <c r="I4367" t="str">
        <f t="shared" si="567"/>
        <v>올마스터가 된 비전서고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70</v>
      </c>
      <c r="AT4367" t="str">
        <f t="shared" si="568"/>
        <v>9791137601314</v>
      </c>
      <c r="AV4367" t="str">
        <f t="shared" si="564"/>
        <v>판타지 웹소설 &gt; 퓨전 판타지</v>
      </c>
    </row>
    <row r="4368" spans="1:48" x14ac:dyDescent="0.4">
      <c r="A4368">
        <v>2313016617</v>
      </c>
      <c r="B4368">
        <v>2313016812</v>
      </c>
      <c r="C4368" t="str">
        <f>T("올마스터가 된 비전서고 196화")</f>
        <v>올마스터가 된 비전서고 196화</v>
      </c>
      <c r="D4368" t="str">
        <f>T("196")</f>
        <v>196</v>
      </c>
      <c r="E4368" t="str">
        <f t="shared" si="565"/>
        <v>글면증</v>
      </c>
      <c r="H4368" t="str">
        <f t="shared" si="566"/>
        <v>스토리위즈</v>
      </c>
      <c r="I4368" t="str">
        <f t="shared" si="567"/>
        <v>올마스터가 된 비전서고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70</v>
      </c>
      <c r="AT4368" t="str">
        <f t="shared" si="568"/>
        <v>9791137601314</v>
      </c>
      <c r="AV4368" t="str">
        <f t="shared" si="564"/>
        <v>판타지 웹소설 &gt; 퓨전 판타지</v>
      </c>
    </row>
    <row r="4369" spans="1:48" x14ac:dyDescent="0.4">
      <c r="A4369">
        <v>2313016617</v>
      </c>
      <c r="B4369">
        <v>2313016813</v>
      </c>
      <c r="C4369" t="str">
        <f>T("올마스터가 된 비전서고 197화")</f>
        <v>올마스터가 된 비전서고 197화</v>
      </c>
      <c r="D4369" t="str">
        <f>T("197")</f>
        <v>197</v>
      </c>
      <c r="E4369" t="str">
        <f t="shared" si="565"/>
        <v>글면증</v>
      </c>
      <c r="H4369" t="str">
        <f t="shared" si="566"/>
        <v>스토리위즈</v>
      </c>
      <c r="I4369" t="str">
        <f t="shared" si="567"/>
        <v>올마스터가 된 비전서고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70</v>
      </c>
      <c r="AT4369" t="str">
        <f t="shared" si="568"/>
        <v>9791137601314</v>
      </c>
      <c r="AV4369" t="str">
        <f t="shared" ref="AV4369:AV4375" si="569">T("판타지 웹소설 &gt; 퓨전 판타지")</f>
        <v>판타지 웹소설 &gt; 퓨전 판타지</v>
      </c>
    </row>
    <row r="4370" spans="1:48" x14ac:dyDescent="0.4">
      <c r="A4370">
        <v>2313016617</v>
      </c>
      <c r="B4370">
        <v>2313016814</v>
      </c>
      <c r="C4370" t="str">
        <f>T("올마스터가 된 비전서고 198화")</f>
        <v>올마스터가 된 비전서고 198화</v>
      </c>
      <c r="D4370" t="str">
        <f>T("198")</f>
        <v>198</v>
      </c>
      <c r="E4370" t="str">
        <f t="shared" si="565"/>
        <v>글면증</v>
      </c>
      <c r="H4370" t="str">
        <f t="shared" si="566"/>
        <v>스토리위즈</v>
      </c>
      <c r="I4370" t="str">
        <f t="shared" si="567"/>
        <v>올마스터가 된 비전서고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70</v>
      </c>
      <c r="AT4370" t="str">
        <f t="shared" si="568"/>
        <v>9791137601314</v>
      </c>
      <c r="AV4370" t="str">
        <f t="shared" si="569"/>
        <v>판타지 웹소설 &gt; 퓨전 판타지</v>
      </c>
    </row>
    <row r="4371" spans="1:48" x14ac:dyDescent="0.4">
      <c r="A4371">
        <v>2313016617</v>
      </c>
      <c r="B4371">
        <v>2313016815</v>
      </c>
      <c r="C4371" t="str">
        <f>T("올마스터가 된 비전서고 199화")</f>
        <v>올마스터가 된 비전서고 199화</v>
      </c>
      <c r="D4371" t="str">
        <f>T("199")</f>
        <v>199</v>
      </c>
      <c r="E4371" t="str">
        <f t="shared" si="565"/>
        <v>글면증</v>
      </c>
      <c r="H4371" t="str">
        <f t="shared" si="566"/>
        <v>스토리위즈</v>
      </c>
      <c r="I4371" t="str">
        <f t="shared" si="567"/>
        <v>올마스터가 된 비전서고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70</v>
      </c>
      <c r="AT4371" t="str">
        <f t="shared" si="568"/>
        <v>9791137601314</v>
      </c>
      <c r="AV4371" t="str">
        <f t="shared" si="569"/>
        <v>판타지 웹소설 &gt; 퓨전 판타지</v>
      </c>
    </row>
    <row r="4372" spans="1:48" x14ac:dyDescent="0.4">
      <c r="A4372">
        <v>2313016617</v>
      </c>
      <c r="B4372">
        <v>2313016816</v>
      </c>
      <c r="C4372" t="str">
        <f>T("올마스터가 된 비전서고 200화 (완결)")</f>
        <v>올마스터가 된 비전서고 200화 (완결)</v>
      </c>
      <c r="D4372" t="str">
        <f>T("200")</f>
        <v>200</v>
      </c>
      <c r="E4372" t="str">
        <f t="shared" si="565"/>
        <v>글면증</v>
      </c>
      <c r="H4372" t="str">
        <f t="shared" si="566"/>
        <v>스토리위즈</v>
      </c>
      <c r="I4372" t="str">
        <f t="shared" si="567"/>
        <v>올마스터가 된 비전서고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70</v>
      </c>
      <c r="AT4372" t="str">
        <f t="shared" si="568"/>
        <v>9791137601314</v>
      </c>
      <c r="AV4372" t="str">
        <f t="shared" si="569"/>
        <v>판타지 웹소설 &gt; 퓨전 판타지</v>
      </c>
    </row>
    <row r="4373" spans="1:48" x14ac:dyDescent="0.4">
      <c r="A4373">
        <v>2313017252</v>
      </c>
      <c r="B4373">
        <v>2313017295</v>
      </c>
      <c r="C4373" t="str">
        <f>T("신들의 알바나라 44화")</f>
        <v>신들의 알바나라 44화</v>
      </c>
      <c r="D4373" t="str">
        <f>T("44")</f>
        <v>44</v>
      </c>
      <c r="E4373" t="str">
        <f>T("갓띵작")</f>
        <v>갓띵작</v>
      </c>
      <c r="H4373" t="str">
        <f t="shared" si="566"/>
        <v>스토리위즈</v>
      </c>
      <c r="I4373" t="str">
        <f>T("신들의 알바나라")</f>
        <v>신들의 알바나라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70</v>
      </c>
      <c r="AT4373" t="str">
        <f>T("9791137603950")</f>
        <v>9791137603950</v>
      </c>
      <c r="AV4373" t="str">
        <f t="shared" si="569"/>
        <v>판타지 웹소설 &gt; 퓨전 판타지</v>
      </c>
    </row>
    <row r="4374" spans="1:48" x14ac:dyDescent="0.4">
      <c r="A4374">
        <v>2313017252</v>
      </c>
      <c r="B4374">
        <v>2313017297</v>
      </c>
      <c r="C4374" t="str">
        <f>T("신들의 알바나라 46화")</f>
        <v>신들의 알바나라 46화</v>
      </c>
      <c r="D4374" t="str">
        <f>T("46")</f>
        <v>46</v>
      </c>
      <c r="E4374" t="str">
        <f>T("갓띵작")</f>
        <v>갓띵작</v>
      </c>
      <c r="H4374" t="str">
        <f t="shared" si="566"/>
        <v>스토리위즈</v>
      </c>
      <c r="I4374" t="str">
        <f>T("신들의 알바나라")</f>
        <v>신들의 알바나라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>
        <v>70</v>
      </c>
      <c r="AT4374" t="str">
        <f>T("9791137603950")</f>
        <v>9791137603950</v>
      </c>
      <c r="AV4374" t="str">
        <f t="shared" si="569"/>
        <v>판타지 웹소설 &gt; 퓨전 판타지</v>
      </c>
    </row>
    <row r="4375" spans="1:48" x14ac:dyDescent="0.4">
      <c r="A4375">
        <v>2313017252</v>
      </c>
      <c r="B4375">
        <v>2313017333</v>
      </c>
      <c r="C4375" t="str">
        <f>T("신들의 알바나라 82화")</f>
        <v>신들의 알바나라 82화</v>
      </c>
      <c r="D4375" t="str">
        <f>T("82")</f>
        <v>82</v>
      </c>
      <c r="E4375" t="str">
        <f>T("갓띵작")</f>
        <v>갓띵작</v>
      </c>
      <c r="H4375" t="str">
        <f t="shared" si="566"/>
        <v>스토리위즈</v>
      </c>
      <c r="I4375" t="str">
        <f>T("신들의 알바나라")</f>
        <v>신들의 알바나라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>
        <v>70</v>
      </c>
      <c r="AT4375" t="str">
        <f>T("9791137603950")</f>
        <v>9791137603950</v>
      </c>
      <c r="AV4375" t="str">
        <f t="shared" si="569"/>
        <v>판타지 웹소설 &gt; 퓨전 판타지</v>
      </c>
    </row>
    <row r="4376" spans="1:48" x14ac:dyDescent="0.4">
      <c r="A4376">
        <v>2313017461</v>
      </c>
      <c r="B4376">
        <v>2313017638</v>
      </c>
      <c r="C4376" t="str">
        <f>T("사냥꾼은 마왕이 되기 싫다 178화")</f>
        <v>사냥꾼은 마왕이 되기 싫다 178화</v>
      </c>
      <c r="D4376" t="str">
        <f>T("178")</f>
        <v>178</v>
      </c>
      <c r="E4376" t="str">
        <f t="shared" ref="E4376:E4382" si="570">T("강명운")</f>
        <v>강명운</v>
      </c>
      <c r="H4376" t="str">
        <f t="shared" ref="H4376:H4382" si="571">T("스토리아크")</f>
        <v>스토리아크</v>
      </c>
      <c r="I4376" t="str">
        <f t="shared" ref="I4376:I4382" si="572">T("사냥꾼은 마왕이 되기 싫다")</f>
        <v>사냥꾼은 마왕이 되기 싫다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2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>
        <v>70</v>
      </c>
      <c r="AR4376" t="str">
        <f t="shared" ref="AR4376:AR4382" si="573">T("0000000000000")</f>
        <v>0000000000000</v>
      </c>
      <c r="AT4376" t="str">
        <f t="shared" ref="AT4376:AT4382" si="574">T("9791191039269")</f>
        <v>9791191039269</v>
      </c>
      <c r="AV4376" t="str">
        <f t="shared" ref="AV4376:AV4382" si="575">T("판타지 웹소설 &gt; 정통 판타지")</f>
        <v>판타지 웹소설 &gt; 정통 판타지</v>
      </c>
    </row>
    <row r="4377" spans="1:48" x14ac:dyDescent="0.4">
      <c r="A4377">
        <v>2313017461</v>
      </c>
      <c r="B4377">
        <v>2313017639</v>
      </c>
      <c r="C4377" t="str">
        <f>T("사냥꾼은 마왕이 되기 싫다 179화")</f>
        <v>사냥꾼은 마왕이 되기 싫다 179화</v>
      </c>
      <c r="D4377" t="str">
        <f>T("179")</f>
        <v>179</v>
      </c>
      <c r="E4377" t="str">
        <f t="shared" si="570"/>
        <v>강명운</v>
      </c>
      <c r="H4377" t="str">
        <f t="shared" si="571"/>
        <v>스토리아크</v>
      </c>
      <c r="I4377" t="str">
        <f t="shared" si="572"/>
        <v>사냥꾼은 마왕이 되기 싫다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2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>
        <v>70</v>
      </c>
      <c r="AR4377" t="str">
        <f t="shared" si="573"/>
        <v>0000000000000</v>
      </c>
      <c r="AT4377" t="str">
        <f t="shared" si="574"/>
        <v>9791191039269</v>
      </c>
      <c r="AV4377" t="str">
        <f t="shared" si="575"/>
        <v>판타지 웹소설 &gt; 정통 판타지</v>
      </c>
    </row>
    <row r="4378" spans="1:48" x14ac:dyDescent="0.4">
      <c r="A4378">
        <v>2313017461</v>
      </c>
      <c r="B4378">
        <v>2313017640</v>
      </c>
      <c r="C4378" t="str">
        <f>T("사냥꾼은 마왕이 되기 싫다 180화")</f>
        <v>사냥꾼은 마왕이 되기 싫다 180화</v>
      </c>
      <c r="D4378" t="str">
        <f>T("180")</f>
        <v>180</v>
      </c>
      <c r="E4378" t="str">
        <f t="shared" si="570"/>
        <v>강명운</v>
      </c>
      <c r="H4378" t="str">
        <f t="shared" si="571"/>
        <v>스토리아크</v>
      </c>
      <c r="I4378" t="str">
        <f t="shared" si="572"/>
        <v>사냥꾼은 마왕이 되기 싫다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2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>
        <v>70</v>
      </c>
      <c r="AR4378" t="str">
        <f t="shared" si="573"/>
        <v>0000000000000</v>
      </c>
      <c r="AT4378" t="str">
        <f t="shared" si="574"/>
        <v>9791191039269</v>
      </c>
      <c r="AV4378" t="str">
        <f t="shared" si="575"/>
        <v>판타지 웹소설 &gt; 정통 판타지</v>
      </c>
    </row>
    <row r="4379" spans="1:48" x14ac:dyDescent="0.4">
      <c r="A4379">
        <v>2313017461</v>
      </c>
      <c r="B4379">
        <v>2313017641</v>
      </c>
      <c r="C4379" t="str">
        <f>T("사냥꾼은 마왕이 되기 싫다 181화")</f>
        <v>사냥꾼은 마왕이 되기 싫다 181화</v>
      </c>
      <c r="D4379" t="str">
        <f>T("181")</f>
        <v>181</v>
      </c>
      <c r="E4379" t="str">
        <f t="shared" si="570"/>
        <v>강명운</v>
      </c>
      <c r="H4379" t="str">
        <f t="shared" si="571"/>
        <v>스토리아크</v>
      </c>
      <c r="I4379" t="str">
        <f t="shared" si="572"/>
        <v>사냥꾼은 마왕이 되기 싫다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2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>
        <v>70</v>
      </c>
      <c r="AR4379" t="str">
        <f t="shared" si="573"/>
        <v>0000000000000</v>
      </c>
      <c r="AT4379" t="str">
        <f t="shared" si="574"/>
        <v>9791191039269</v>
      </c>
      <c r="AV4379" t="str">
        <f t="shared" si="575"/>
        <v>판타지 웹소설 &gt; 정통 판타지</v>
      </c>
    </row>
    <row r="4380" spans="1:48" x14ac:dyDescent="0.4">
      <c r="A4380">
        <v>2313017461</v>
      </c>
      <c r="B4380">
        <v>2313017642</v>
      </c>
      <c r="C4380" t="str">
        <f>T("사냥꾼은 마왕이 되기 싫다 182화")</f>
        <v>사냥꾼은 마왕이 되기 싫다 182화</v>
      </c>
      <c r="D4380" t="str">
        <f>T("182")</f>
        <v>182</v>
      </c>
      <c r="E4380" t="str">
        <f t="shared" si="570"/>
        <v>강명운</v>
      </c>
      <c r="H4380" t="str">
        <f t="shared" si="571"/>
        <v>스토리아크</v>
      </c>
      <c r="I4380" t="str">
        <f t="shared" si="572"/>
        <v>사냥꾼은 마왕이 되기 싫다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2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70</v>
      </c>
      <c r="AR4380" t="str">
        <f t="shared" si="573"/>
        <v>0000000000000</v>
      </c>
      <c r="AT4380" t="str">
        <f t="shared" si="574"/>
        <v>9791191039269</v>
      </c>
      <c r="AV4380" t="str">
        <f t="shared" si="575"/>
        <v>판타지 웹소설 &gt; 정통 판타지</v>
      </c>
    </row>
    <row r="4381" spans="1:48" x14ac:dyDescent="0.4">
      <c r="A4381">
        <v>2313017461</v>
      </c>
      <c r="B4381">
        <v>2313017643</v>
      </c>
      <c r="C4381" t="str">
        <f>T("사냥꾼은 마왕이 되기 싫다 183화")</f>
        <v>사냥꾼은 마왕이 되기 싫다 183화</v>
      </c>
      <c r="D4381" t="str">
        <f>T("183")</f>
        <v>183</v>
      </c>
      <c r="E4381" t="str">
        <f t="shared" si="570"/>
        <v>강명운</v>
      </c>
      <c r="H4381" t="str">
        <f t="shared" si="571"/>
        <v>스토리아크</v>
      </c>
      <c r="I4381" t="str">
        <f t="shared" si="572"/>
        <v>사냥꾼은 마왕이 되기 싫다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2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70</v>
      </c>
      <c r="AR4381" t="str">
        <f t="shared" si="573"/>
        <v>0000000000000</v>
      </c>
      <c r="AT4381" t="str">
        <f t="shared" si="574"/>
        <v>9791191039269</v>
      </c>
      <c r="AV4381" t="str">
        <f t="shared" si="575"/>
        <v>판타지 웹소설 &gt; 정통 판타지</v>
      </c>
    </row>
    <row r="4382" spans="1:48" x14ac:dyDescent="0.4">
      <c r="A4382">
        <v>2313017461</v>
      </c>
      <c r="B4382">
        <v>2313017644</v>
      </c>
      <c r="C4382" t="str">
        <f>T("사냥꾼은 마왕이 되기 싫다 184화")</f>
        <v>사냥꾼은 마왕이 되기 싫다 184화</v>
      </c>
      <c r="D4382" t="str">
        <f>T("184")</f>
        <v>184</v>
      </c>
      <c r="E4382" t="str">
        <f t="shared" si="570"/>
        <v>강명운</v>
      </c>
      <c r="H4382" t="str">
        <f t="shared" si="571"/>
        <v>스토리아크</v>
      </c>
      <c r="I4382" t="str">
        <f t="shared" si="572"/>
        <v>사냥꾼은 마왕이 되기 싫다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2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70</v>
      </c>
      <c r="AR4382" t="str">
        <f t="shared" si="573"/>
        <v>0000000000000</v>
      </c>
      <c r="AT4382" t="str">
        <f t="shared" si="574"/>
        <v>9791191039269</v>
      </c>
      <c r="AV4382" t="str">
        <f t="shared" si="575"/>
        <v>판타지 웹소설 &gt; 정통 판타지</v>
      </c>
    </row>
    <row r="4383" spans="1:48" x14ac:dyDescent="0.4">
      <c r="A4383">
        <v>2313000185</v>
      </c>
      <c r="B4383">
        <v>2313000185</v>
      </c>
      <c r="C4383" t="str">
        <f>T("형사의 게임 1화")</f>
        <v>형사의 게임 1화</v>
      </c>
      <c r="D4383" t="str">
        <f>T("1")</f>
        <v>1</v>
      </c>
      <c r="E4383" t="str">
        <f>T("무장")</f>
        <v>무장</v>
      </c>
      <c r="H4383" t="str">
        <f t="shared" ref="H4383:H4446" si="576">T("스토리위즈")</f>
        <v>스토리위즈</v>
      </c>
      <c r="I4383" t="str">
        <f>T("형사의 게임")</f>
        <v>형사의 게임</v>
      </c>
      <c r="J4383">
        <v>0</v>
      </c>
      <c r="K4383">
        <v>0</v>
      </c>
      <c r="L4383">
        <v>0</v>
      </c>
      <c r="M4383">
        <v>5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5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T4383" t="str">
        <f>T("9791195863006")</f>
        <v>9791195863006</v>
      </c>
      <c r="AV4383" t="str">
        <f>T("판타지 웹소설 &gt; 현대 판타지")</f>
        <v>판타지 웹소설 &gt; 현대 판타지</v>
      </c>
    </row>
    <row r="4384" spans="1:48" x14ac:dyDescent="0.4">
      <c r="A4384">
        <v>2313000185</v>
      </c>
      <c r="B4384">
        <v>2313000186</v>
      </c>
      <c r="C4384" t="str">
        <f>T("형사의 게임 2화")</f>
        <v>형사의 게임 2화</v>
      </c>
      <c r="D4384" t="str">
        <f>T("2")</f>
        <v>2</v>
      </c>
      <c r="E4384" t="str">
        <f>T("무장")</f>
        <v>무장</v>
      </c>
      <c r="H4384" t="str">
        <f t="shared" si="576"/>
        <v>스토리위즈</v>
      </c>
      <c r="I4384" t="str">
        <f>T("형사의 게임")</f>
        <v>형사의 게임</v>
      </c>
      <c r="J4384">
        <v>0</v>
      </c>
      <c r="K4384">
        <v>0</v>
      </c>
      <c r="L4384">
        <v>0</v>
      </c>
      <c r="M4384">
        <v>4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4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T4384" t="str">
        <f>T("9791195863006")</f>
        <v>9791195863006</v>
      </c>
      <c r="AV4384" t="str">
        <f>T("판타지 웹소설 &gt; 현대 판타지")</f>
        <v>판타지 웹소설 &gt; 현대 판타지</v>
      </c>
    </row>
    <row r="4385" spans="1:48" x14ac:dyDescent="0.4">
      <c r="A4385">
        <v>2313000185</v>
      </c>
      <c r="B4385">
        <v>2313000187</v>
      </c>
      <c r="C4385" t="str">
        <f>T("형사의 게임 3화")</f>
        <v>형사의 게임 3화</v>
      </c>
      <c r="D4385" t="str">
        <f>T("3")</f>
        <v>3</v>
      </c>
      <c r="E4385" t="str">
        <f>T("무장")</f>
        <v>무장</v>
      </c>
      <c r="H4385" t="str">
        <f t="shared" si="576"/>
        <v>스토리위즈</v>
      </c>
      <c r="I4385" t="str">
        <f>T("형사의 게임")</f>
        <v>형사의 게임</v>
      </c>
      <c r="J4385">
        <v>0</v>
      </c>
      <c r="K4385">
        <v>0</v>
      </c>
      <c r="L4385">
        <v>0</v>
      </c>
      <c r="M4385">
        <v>3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3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T4385" t="str">
        <f>T("9791195863006")</f>
        <v>9791195863006</v>
      </c>
      <c r="AV4385" t="str">
        <f>T("판타지 웹소설 &gt; 현대 판타지")</f>
        <v>판타지 웹소설 &gt; 현대 판타지</v>
      </c>
    </row>
    <row r="4386" spans="1:48" x14ac:dyDescent="0.4">
      <c r="A4386">
        <v>2313000185</v>
      </c>
      <c r="B4386">
        <v>2313000188</v>
      </c>
      <c r="C4386" t="str">
        <f>T("형사의 게임 4화")</f>
        <v>형사의 게임 4화</v>
      </c>
      <c r="D4386" t="str">
        <f>T("4")</f>
        <v>4</v>
      </c>
      <c r="E4386" t="str">
        <f>T("무장")</f>
        <v>무장</v>
      </c>
      <c r="H4386" t="str">
        <f t="shared" si="576"/>
        <v>스토리위즈</v>
      </c>
      <c r="I4386" t="str">
        <f>T("형사의 게임")</f>
        <v>형사의 게임</v>
      </c>
      <c r="J4386">
        <v>0</v>
      </c>
      <c r="K4386">
        <v>0</v>
      </c>
      <c r="L4386">
        <v>0</v>
      </c>
      <c r="M4386">
        <v>3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3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T4386" t="str">
        <f>T("9791195863006")</f>
        <v>9791195863006</v>
      </c>
      <c r="AV4386" t="str">
        <f>T("판타지 웹소설 &gt; 현대 판타지")</f>
        <v>판타지 웹소설 &gt; 현대 판타지</v>
      </c>
    </row>
    <row r="4387" spans="1:48" x14ac:dyDescent="0.4">
      <c r="A4387">
        <v>2313000185</v>
      </c>
      <c r="B4387">
        <v>2313000189</v>
      </c>
      <c r="C4387" t="str">
        <f>T("형사의 게임 5화")</f>
        <v>형사의 게임 5화</v>
      </c>
      <c r="D4387" t="str">
        <f>T("5")</f>
        <v>5</v>
      </c>
      <c r="E4387" t="str">
        <f>T("무장")</f>
        <v>무장</v>
      </c>
      <c r="H4387" t="str">
        <f t="shared" si="576"/>
        <v>스토리위즈</v>
      </c>
      <c r="I4387" t="str">
        <f>T("형사의 게임")</f>
        <v>형사의 게임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T4387" t="str">
        <f>T("9791195863006")</f>
        <v>9791195863006</v>
      </c>
      <c r="AV4387" t="str">
        <f>T("판타지 웹소설 &gt; 현대 판타지")</f>
        <v>판타지 웹소설 &gt; 현대 판타지</v>
      </c>
    </row>
    <row r="4388" spans="1:48" x14ac:dyDescent="0.4">
      <c r="A4388">
        <v>2313000685</v>
      </c>
      <c r="B4388">
        <v>2313000685</v>
      </c>
      <c r="C4388" t="str">
        <f>T("라지에르의 서 1~2화")</f>
        <v>라지에르의 서 1~2화</v>
      </c>
      <c r="D4388" t="str">
        <f>T("1")</f>
        <v>1</v>
      </c>
      <c r="E4388" t="str">
        <f>T("공든탑")</f>
        <v>공든탑</v>
      </c>
      <c r="H4388" t="str">
        <f t="shared" si="576"/>
        <v>스토리위즈</v>
      </c>
      <c r="I4388" t="str">
        <f>T("라지에르의 서")</f>
        <v>라지에르의 서</v>
      </c>
      <c r="J4388">
        <v>0</v>
      </c>
      <c r="K4388">
        <v>0</v>
      </c>
      <c r="L4388">
        <v>0</v>
      </c>
      <c r="M4388">
        <v>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2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T4388" t="str">
        <f>T("9791159285783")</f>
        <v>9791159285783</v>
      </c>
      <c r="AV4388" t="str">
        <f>T("판타지 웹소설 &gt; 퓨전 판타지")</f>
        <v>판타지 웹소설 &gt; 퓨전 판타지</v>
      </c>
    </row>
    <row r="4389" spans="1:48" x14ac:dyDescent="0.4">
      <c r="A4389">
        <v>2313000954</v>
      </c>
      <c r="B4389">
        <v>2313000954</v>
      </c>
      <c r="C4389" t="str">
        <f>T("[e북]라지에르의 서 1권")</f>
        <v>[e북]라지에르의 서 1권</v>
      </c>
      <c r="D4389" t="str">
        <f>T("1")</f>
        <v>1</v>
      </c>
      <c r="E4389" t="str">
        <f>T("공든탑")</f>
        <v>공든탑</v>
      </c>
      <c r="H4389" t="str">
        <f t="shared" si="576"/>
        <v>스토리위즈</v>
      </c>
      <c r="I4389" t="str">
        <f>T("[e북]라지에르의 서")</f>
        <v>[e북]라지에르의 서</v>
      </c>
      <c r="J4389">
        <v>0</v>
      </c>
      <c r="K4389">
        <v>0</v>
      </c>
      <c r="L4389">
        <v>0</v>
      </c>
      <c r="M4389">
        <v>11</v>
      </c>
      <c r="N4389">
        <v>0</v>
      </c>
      <c r="O4389">
        <v>0</v>
      </c>
      <c r="P4389">
        <v>10</v>
      </c>
      <c r="Q4389">
        <v>0</v>
      </c>
      <c r="R4389">
        <v>0</v>
      </c>
      <c r="S4389">
        <v>0</v>
      </c>
      <c r="T4389">
        <v>4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25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T4389" t="str">
        <f>T("9791159286322")</f>
        <v>9791159286322</v>
      </c>
      <c r="AV4389" t="str">
        <f>T("판타지 e북 &gt; 퓨전 판타지")</f>
        <v>판타지 e북 &gt; 퓨전 판타지</v>
      </c>
    </row>
    <row r="4390" spans="1:48" x14ac:dyDescent="0.4">
      <c r="A4390">
        <v>2313002073</v>
      </c>
      <c r="B4390">
        <v>2313002073</v>
      </c>
      <c r="C4390" t="str">
        <f>T("[e북]형사의 게임 1권")</f>
        <v>[e북]형사의 게임 1권</v>
      </c>
      <c r="D4390" t="str">
        <f>T("1")</f>
        <v>1</v>
      </c>
      <c r="E4390" t="str">
        <f>T("무장")</f>
        <v>무장</v>
      </c>
      <c r="H4390" t="str">
        <f t="shared" si="576"/>
        <v>스토리위즈</v>
      </c>
      <c r="I4390" t="str">
        <f>T("[e북]형사의 게임")</f>
        <v>[e북]형사의 게임</v>
      </c>
      <c r="J4390">
        <v>0</v>
      </c>
      <c r="K4390">
        <v>0</v>
      </c>
      <c r="L4390">
        <v>0</v>
      </c>
      <c r="M4390">
        <v>28</v>
      </c>
      <c r="N4390">
        <v>0</v>
      </c>
      <c r="O4390">
        <v>0</v>
      </c>
      <c r="P4390">
        <v>52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80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T4390" t="str">
        <f>T("9791195863037")</f>
        <v>9791195863037</v>
      </c>
      <c r="AV4390" t="str">
        <f t="shared" ref="AV4390:AV4398" si="577">T("판타지 e북 &gt; 현대 판타지")</f>
        <v>판타지 e북 &gt; 현대 판타지</v>
      </c>
    </row>
    <row r="4391" spans="1:48" x14ac:dyDescent="0.4">
      <c r="A4391">
        <v>2313002085</v>
      </c>
      <c r="B4391">
        <v>2313002085</v>
      </c>
      <c r="C4391" t="str">
        <f>T("[e북]던전 공략 LIVE 1권")</f>
        <v>[e북]던전 공략 LIVE 1권</v>
      </c>
      <c r="D4391" t="str">
        <f>T("1")</f>
        <v>1</v>
      </c>
      <c r="E4391" t="str">
        <f t="shared" ref="E4391:E4423" si="578">T("이동열")</f>
        <v>이동열</v>
      </c>
      <c r="H4391" t="str">
        <f t="shared" si="576"/>
        <v>스토리위즈</v>
      </c>
      <c r="I4391" t="str">
        <f t="shared" ref="I4391:I4398" si="579">T("[e북]던전 공략 LIVE")</f>
        <v>[e북]던전 공략 LIVE</v>
      </c>
      <c r="J4391">
        <v>0</v>
      </c>
      <c r="K4391">
        <v>0</v>
      </c>
      <c r="L4391">
        <v>0</v>
      </c>
      <c r="M4391">
        <v>3</v>
      </c>
      <c r="N4391">
        <v>0</v>
      </c>
      <c r="O4391">
        <v>0</v>
      </c>
      <c r="P4391">
        <v>7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12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T4391" t="str">
        <f>T("9791159286568")</f>
        <v>9791159286568</v>
      </c>
      <c r="AV4391" t="str">
        <f t="shared" si="577"/>
        <v>판타지 e북 &gt; 현대 판타지</v>
      </c>
    </row>
    <row r="4392" spans="1:48" x14ac:dyDescent="0.4">
      <c r="A4392">
        <v>2313002085</v>
      </c>
      <c r="B4392">
        <v>2313002086</v>
      </c>
      <c r="C4392" t="str">
        <f>T("[e북]던전 공략 LIVE 2권")</f>
        <v>[e북]던전 공략 LIVE 2권</v>
      </c>
      <c r="D4392" t="str">
        <f>T("2")</f>
        <v>2</v>
      </c>
      <c r="E4392" t="str">
        <f t="shared" si="578"/>
        <v>이동열</v>
      </c>
      <c r="H4392" t="str">
        <f t="shared" si="576"/>
        <v>스토리위즈</v>
      </c>
      <c r="I4392" t="str">
        <f t="shared" si="579"/>
        <v>[e북]던전 공략 LIVE</v>
      </c>
      <c r="J4392">
        <v>3200</v>
      </c>
      <c r="K4392">
        <v>0</v>
      </c>
      <c r="L4392">
        <v>0</v>
      </c>
      <c r="M4392">
        <v>0</v>
      </c>
      <c r="N4392">
        <v>3600</v>
      </c>
      <c r="O4392">
        <v>4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900</v>
      </c>
      <c r="V4392">
        <v>2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4500</v>
      </c>
      <c r="AH4392">
        <v>6</v>
      </c>
      <c r="AI4392">
        <v>0</v>
      </c>
      <c r="AJ4392">
        <v>0</v>
      </c>
      <c r="AK4392">
        <v>4500</v>
      </c>
      <c r="AL4392">
        <v>0</v>
      </c>
      <c r="AM4392">
        <v>0</v>
      </c>
      <c r="AN4392">
        <v>0</v>
      </c>
      <c r="AO4392">
        <v>0</v>
      </c>
      <c r="AP4392">
        <v>3150</v>
      </c>
      <c r="AT4392" t="str">
        <f>T("9791159286575")</f>
        <v>9791159286575</v>
      </c>
      <c r="AV4392" t="str">
        <f t="shared" si="577"/>
        <v>판타지 e북 &gt; 현대 판타지</v>
      </c>
    </row>
    <row r="4393" spans="1:48" x14ac:dyDescent="0.4">
      <c r="A4393">
        <v>2313002085</v>
      </c>
      <c r="B4393">
        <v>2313002087</v>
      </c>
      <c r="C4393" t="str">
        <f>T("[e북]던전 공략 LIVE 3권")</f>
        <v>[e북]던전 공략 LIVE 3권</v>
      </c>
      <c r="D4393" t="str">
        <f>T("3")</f>
        <v>3</v>
      </c>
      <c r="E4393" t="str">
        <f t="shared" si="578"/>
        <v>이동열</v>
      </c>
      <c r="H4393" t="str">
        <f t="shared" si="576"/>
        <v>스토리위즈</v>
      </c>
      <c r="I4393" t="str">
        <f t="shared" si="579"/>
        <v>[e북]던전 공략 LIVE</v>
      </c>
      <c r="J4393">
        <v>3200</v>
      </c>
      <c r="K4393">
        <v>0</v>
      </c>
      <c r="L4393">
        <v>0</v>
      </c>
      <c r="M4393">
        <v>0</v>
      </c>
      <c r="N4393">
        <v>1800</v>
      </c>
      <c r="O4393">
        <v>2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900</v>
      </c>
      <c r="V4393">
        <v>2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2700</v>
      </c>
      <c r="AH4393">
        <v>4</v>
      </c>
      <c r="AI4393">
        <v>0</v>
      </c>
      <c r="AJ4393">
        <v>0</v>
      </c>
      <c r="AK4393">
        <v>2700</v>
      </c>
      <c r="AL4393">
        <v>0</v>
      </c>
      <c r="AM4393">
        <v>0</v>
      </c>
      <c r="AN4393">
        <v>0</v>
      </c>
      <c r="AO4393">
        <v>0</v>
      </c>
      <c r="AP4393">
        <v>1890</v>
      </c>
      <c r="AT4393" t="str">
        <f>T("9791159286582")</f>
        <v>9791159286582</v>
      </c>
      <c r="AV4393" t="str">
        <f t="shared" si="577"/>
        <v>판타지 e북 &gt; 현대 판타지</v>
      </c>
    </row>
    <row r="4394" spans="1:48" x14ac:dyDescent="0.4">
      <c r="A4394">
        <v>2313002085</v>
      </c>
      <c r="B4394">
        <v>2313002088</v>
      </c>
      <c r="C4394" t="str">
        <f>T("[e북]던전 공략 LIVE 4권")</f>
        <v>[e북]던전 공략 LIVE 4권</v>
      </c>
      <c r="D4394" t="str">
        <f>T("4")</f>
        <v>4</v>
      </c>
      <c r="E4394" t="str">
        <f t="shared" si="578"/>
        <v>이동열</v>
      </c>
      <c r="H4394" t="str">
        <f t="shared" si="576"/>
        <v>스토리위즈</v>
      </c>
      <c r="I4394" t="str">
        <f t="shared" si="579"/>
        <v>[e북]던전 공략 LIVE</v>
      </c>
      <c r="J4394">
        <v>3200</v>
      </c>
      <c r="K4394">
        <v>0</v>
      </c>
      <c r="L4394">
        <v>0</v>
      </c>
      <c r="M4394">
        <v>0</v>
      </c>
      <c r="N4394">
        <v>1800</v>
      </c>
      <c r="O4394">
        <v>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900</v>
      </c>
      <c r="V4394">
        <v>2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2700</v>
      </c>
      <c r="AH4394">
        <v>4</v>
      </c>
      <c r="AI4394">
        <v>0</v>
      </c>
      <c r="AJ4394">
        <v>0</v>
      </c>
      <c r="AK4394">
        <v>2700</v>
      </c>
      <c r="AL4394">
        <v>0</v>
      </c>
      <c r="AM4394">
        <v>0</v>
      </c>
      <c r="AN4394">
        <v>0</v>
      </c>
      <c r="AO4394">
        <v>0</v>
      </c>
      <c r="AP4394">
        <v>1890</v>
      </c>
      <c r="AT4394" t="str">
        <f>T("9791159286599")</f>
        <v>9791159286599</v>
      </c>
      <c r="AV4394" t="str">
        <f t="shared" si="577"/>
        <v>판타지 e북 &gt; 현대 판타지</v>
      </c>
    </row>
    <row r="4395" spans="1:48" x14ac:dyDescent="0.4">
      <c r="A4395">
        <v>2313002085</v>
      </c>
      <c r="B4395">
        <v>2313002089</v>
      </c>
      <c r="C4395" t="str">
        <f>T("[e북]던전 공략 LIVE 5권")</f>
        <v>[e북]던전 공략 LIVE 5권</v>
      </c>
      <c r="D4395" t="str">
        <f>T("5")</f>
        <v>5</v>
      </c>
      <c r="E4395" t="str">
        <f t="shared" si="578"/>
        <v>이동열</v>
      </c>
      <c r="H4395" t="str">
        <f t="shared" si="576"/>
        <v>스토리위즈</v>
      </c>
      <c r="I4395" t="str">
        <f t="shared" si="579"/>
        <v>[e북]던전 공략 LIVE</v>
      </c>
      <c r="J4395">
        <v>3200</v>
      </c>
      <c r="K4395">
        <v>0</v>
      </c>
      <c r="L4395">
        <v>0</v>
      </c>
      <c r="M4395">
        <v>0</v>
      </c>
      <c r="N4395">
        <v>1800</v>
      </c>
      <c r="O4395">
        <v>2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900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2700</v>
      </c>
      <c r="AH4395">
        <v>4</v>
      </c>
      <c r="AI4395">
        <v>0</v>
      </c>
      <c r="AJ4395">
        <v>0</v>
      </c>
      <c r="AK4395">
        <v>2700</v>
      </c>
      <c r="AL4395">
        <v>0</v>
      </c>
      <c r="AM4395">
        <v>0</v>
      </c>
      <c r="AN4395">
        <v>0</v>
      </c>
      <c r="AO4395">
        <v>0</v>
      </c>
      <c r="AP4395">
        <v>1890</v>
      </c>
      <c r="AT4395" t="str">
        <f>T("9791159286605")</f>
        <v>9791159286605</v>
      </c>
      <c r="AV4395" t="str">
        <f t="shared" si="577"/>
        <v>판타지 e북 &gt; 현대 판타지</v>
      </c>
    </row>
    <row r="4396" spans="1:48" x14ac:dyDescent="0.4">
      <c r="A4396">
        <v>2313002085</v>
      </c>
      <c r="B4396">
        <v>2313002090</v>
      </c>
      <c r="C4396" t="str">
        <f>T("[e북]던전 공략 LIVE 6권")</f>
        <v>[e북]던전 공략 LIVE 6권</v>
      </c>
      <c r="D4396" t="str">
        <f>T("6")</f>
        <v>6</v>
      </c>
      <c r="E4396" t="str">
        <f t="shared" si="578"/>
        <v>이동열</v>
      </c>
      <c r="H4396" t="str">
        <f t="shared" si="576"/>
        <v>스토리위즈</v>
      </c>
      <c r="I4396" t="str">
        <f t="shared" si="579"/>
        <v>[e북]던전 공략 LIVE</v>
      </c>
      <c r="J4396">
        <v>3200</v>
      </c>
      <c r="K4396">
        <v>0</v>
      </c>
      <c r="L4396">
        <v>0</v>
      </c>
      <c r="M4396">
        <v>0</v>
      </c>
      <c r="N4396">
        <v>900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900</v>
      </c>
      <c r="V4396">
        <v>2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1800</v>
      </c>
      <c r="AH4396">
        <v>3</v>
      </c>
      <c r="AI4396">
        <v>0</v>
      </c>
      <c r="AJ4396">
        <v>0</v>
      </c>
      <c r="AK4396">
        <v>1800</v>
      </c>
      <c r="AL4396">
        <v>0</v>
      </c>
      <c r="AM4396">
        <v>0</v>
      </c>
      <c r="AN4396">
        <v>0</v>
      </c>
      <c r="AO4396">
        <v>0</v>
      </c>
      <c r="AP4396">
        <v>1260</v>
      </c>
      <c r="AT4396" t="str">
        <f>T("9791159286612")</f>
        <v>9791159286612</v>
      </c>
      <c r="AV4396" t="str">
        <f t="shared" si="577"/>
        <v>판타지 e북 &gt; 현대 판타지</v>
      </c>
    </row>
    <row r="4397" spans="1:48" x14ac:dyDescent="0.4">
      <c r="A4397">
        <v>2313002085</v>
      </c>
      <c r="B4397">
        <v>2313002091</v>
      </c>
      <c r="C4397" t="str">
        <f>T("[e북]던전 공략 LIVE 7권")</f>
        <v>[e북]던전 공략 LIVE 7권</v>
      </c>
      <c r="D4397" t="str">
        <f>T("7")</f>
        <v>7</v>
      </c>
      <c r="E4397" t="str">
        <f t="shared" si="578"/>
        <v>이동열</v>
      </c>
      <c r="H4397" t="str">
        <f t="shared" si="576"/>
        <v>스토리위즈</v>
      </c>
      <c r="I4397" t="str">
        <f t="shared" si="579"/>
        <v>[e북]던전 공략 LIVE</v>
      </c>
      <c r="J4397">
        <v>3200</v>
      </c>
      <c r="K4397">
        <v>0</v>
      </c>
      <c r="L4397">
        <v>0</v>
      </c>
      <c r="M4397">
        <v>0</v>
      </c>
      <c r="N4397">
        <v>900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900</v>
      </c>
      <c r="V4397">
        <v>2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1800</v>
      </c>
      <c r="AH4397">
        <v>3</v>
      </c>
      <c r="AI4397">
        <v>0</v>
      </c>
      <c r="AJ4397">
        <v>0</v>
      </c>
      <c r="AK4397">
        <v>1800</v>
      </c>
      <c r="AL4397">
        <v>0</v>
      </c>
      <c r="AM4397">
        <v>0</v>
      </c>
      <c r="AN4397">
        <v>0</v>
      </c>
      <c r="AO4397">
        <v>0</v>
      </c>
      <c r="AP4397">
        <v>1260</v>
      </c>
      <c r="AT4397" t="str">
        <f>T("9791159286629")</f>
        <v>9791159286629</v>
      </c>
      <c r="AV4397" t="str">
        <f t="shared" si="577"/>
        <v>판타지 e북 &gt; 현대 판타지</v>
      </c>
    </row>
    <row r="4398" spans="1:48" x14ac:dyDescent="0.4">
      <c r="A4398">
        <v>2313002085</v>
      </c>
      <c r="B4398">
        <v>2313002092</v>
      </c>
      <c r="C4398" t="str">
        <f>T("[e북]던전 공략 LIVE 8권 (완결)")</f>
        <v>[e북]던전 공략 LIVE 8권 (완결)</v>
      </c>
      <c r="D4398" t="str">
        <f>T("8")</f>
        <v>8</v>
      </c>
      <c r="E4398" t="str">
        <f t="shared" si="578"/>
        <v>이동열</v>
      </c>
      <c r="H4398" t="str">
        <f t="shared" si="576"/>
        <v>스토리위즈</v>
      </c>
      <c r="I4398" t="str">
        <f t="shared" si="579"/>
        <v>[e북]던전 공략 LIVE</v>
      </c>
      <c r="J4398">
        <v>3200</v>
      </c>
      <c r="K4398">
        <v>0</v>
      </c>
      <c r="L4398">
        <v>0</v>
      </c>
      <c r="M4398">
        <v>0</v>
      </c>
      <c r="N4398">
        <v>900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900</v>
      </c>
      <c r="V4398">
        <v>2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1800</v>
      </c>
      <c r="AH4398">
        <v>3</v>
      </c>
      <c r="AI4398">
        <v>0</v>
      </c>
      <c r="AJ4398">
        <v>0</v>
      </c>
      <c r="AK4398">
        <v>1800</v>
      </c>
      <c r="AL4398">
        <v>0</v>
      </c>
      <c r="AM4398">
        <v>0</v>
      </c>
      <c r="AN4398">
        <v>0</v>
      </c>
      <c r="AO4398">
        <v>0</v>
      </c>
      <c r="AP4398">
        <v>1260</v>
      </c>
      <c r="AT4398" t="str">
        <f>T("9791159286636")</f>
        <v>9791159286636</v>
      </c>
      <c r="AV4398" t="str">
        <f t="shared" si="577"/>
        <v>판타지 e북 &gt; 현대 판타지</v>
      </c>
    </row>
    <row r="4399" spans="1:48" x14ac:dyDescent="0.4">
      <c r="A4399">
        <v>2313002926</v>
      </c>
      <c r="B4399">
        <v>2313002926</v>
      </c>
      <c r="C4399" t="str">
        <f>T("나 혼자만 일일 보상 1화")</f>
        <v>나 혼자만 일일 보상 1화</v>
      </c>
      <c r="D4399" t="str">
        <f>T("1")</f>
        <v>1</v>
      </c>
      <c r="E4399" t="str">
        <f t="shared" si="578"/>
        <v>이동열</v>
      </c>
      <c r="H4399" t="str">
        <f t="shared" si="576"/>
        <v>스토리위즈</v>
      </c>
      <c r="I4399" t="str">
        <f t="shared" ref="I4399:I4423" si="580">T("나 혼자만 일일 보상")</f>
        <v>나 혼자만 일일 보상</v>
      </c>
      <c r="J4399">
        <v>0</v>
      </c>
      <c r="K4399">
        <v>0</v>
      </c>
      <c r="L4399">
        <v>0</v>
      </c>
      <c r="M4399">
        <v>3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T4399" t="str">
        <f t="shared" ref="AT4399:AT4423" si="581">T("9791159286889")</f>
        <v>9791159286889</v>
      </c>
      <c r="AV4399" t="str">
        <f t="shared" ref="AV4399:AV4446" si="582">T("판타지 웹소설 &gt; 현대 판타지")</f>
        <v>판타지 웹소설 &gt; 현대 판타지</v>
      </c>
    </row>
    <row r="4400" spans="1:48" x14ac:dyDescent="0.4">
      <c r="A4400">
        <v>2313002926</v>
      </c>
      <c r="B4400">
        <v>2313002927</v>
      </c>
      <c r="C4400" t="str">
        <f>T("나 혼자만 일일 보상 2화")</f>
        <v>나 혼자만 일일 보상 2화</v>
      </c>
      <c r="D4400" t="str">
        <f>T("2")</f>
        <v>2</v>
      </c>
      <c r="E4400" t="str">
        <f t="shared" si="578"/>
        <v>이동열</v>
      </c>
      <c r="H4400" t="str">
        <f t="shared" si="576"/>
        <v>스토리위즈</v>
      </c>
      <c r="I4400" t="str">
        <f t="shared" si="580"/>
        <v>나 혼자만 일일 보상</v>
      </c>
      <c r="J4400">
        <v>0</v>
      </c>
      <c r="K4400">
        <v>0</v>
      </c>
      <c r="L4400">
        <v>0</v>
      </c>
      <c r="M4400">
        <v>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2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T4400" t="str">
        <f t="shared" si="581"/>
        <v>9791159286889</v>
      </c>
      <c r="AV4400" t="str">
        <f t="shared" si="582"/>
        <v>판타지 웹소설 &gt; 현대 판타지</v>
      </c>
    </row>
    <row r="4401" spans="1:48" x14ac:dyDescent="0.4">
      <c r="A4401">
        <v>2313002926</v>
      </c>
      <c r="B4401">
        <v>2313002928</v>
      </c>
      <c r="C4401" t="str">
        <f>T("나 혼자만 일일 보상 3화")</f>
        <v>나 혼자만 일일 보상 3화</v>
      </c>
      <c r="D4401" t="str">
        <f>T("3")</f>
        <v>3</v>
      </c>
      <c r="E4401" t="str">
        <f t="shared" si="578"/>
        <v>이동열</v>
      </c>
      <c r="H4401" t="str">
        <f t="shared" si="576"/>
        <v>스토리위즈</v>
      </c>
      <c r="I4401" t="str">
        <f t="shared" si="580"/>
        <v>나 혼자만 일일 보상</v>
      </c>
      <c r="J4401">
        <v>0</v>
      </c>
      <c r="K4401">
        <v>0</v>
      </c>
      <c r="L4401">
        <v>0</v>
      </c>
      <c r="M4401">
        <v>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2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T4401" t="str">
        <f t="shared" si="581"/>
        <v>9791159286889</v>
      </c>
      <c r="AV4401" t="str">
        <f t="shared" si="582"/>
        <v>판타지 웹소설 &gt; 현대 판타지</v>
      </c>
    </row>
    <row r="4402" spans="1:48" x14ac:dyDescent="0.4">
      <c r="A4402">
        <v>2313002926</v>
      </c>
      <c r="B4402">
        <v>2313002929</v>
      </c>
      <c r="C4402" t="str">
        <f>T("나 혼자만 일일 보상 4화")</f>
        <v>나 혼자만 일일 보상 4화</v>
      </c>
      <c r="D4402" t="str">
        <f>T("4")</f>
        <v>4</v>
      </c>
      <c r="E4402" t="str">
        <f t="shared" si="578"/>
        <v>이동열</v>
      </c>
      <c r="H4402" t="str">
        <f t="shared" si="576"/>
        <v>스토리위즈</v>
      </c>
      <c r="I4402" t="str">
        <f t="shared" si="580"/>
        <v>나 혼자만 일일 보상</v>
      </c>
      <c r="J4402">
        <v>0</v>
      </c>
      <c r="K4402">
        <v>0</v>
      </c>
      <c r="L4402">
        <v>0</v>
      </c>
      <c r="M4402">
        <v>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2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T4402" t="str">
        <f t="shared" si="581"/>
        <v>9791159286889</v>
      </c>
      <c r="AV4402" t="str">
        <f t="shared" si="582"/>
        <v>판타지 웹소설 &gt; 현대 판타지</v>
      </c>
    </row>
    <row r="4403" spans="1:48" x14ac:dyDescent="0.4">
      <c r="A4403">
        <v>2313002926</v>
      </c>
      <c r="B4403">
        <v>2313002930</v>
      </c>
      <c r="C4403" t="str">
        <f>T("나 혼자만 일일 보상 5화")</f>
        <v>나 혼자만 일일 보상 5화</v>
      </c>
      <c r="D4403" t="str">
        <f>T("5")</f>
        <v>5</v>
      </c>
      <c r="E4403" t="str">
        <f t="shared" si="578"/>
        <v>이동열</v>
      </c>
      <c r="H4403" t="str">
        <f t="shared" si="576"/>
        <v>스토리위즈</v>
      </c>
      <c r="I4403" t="str">
        <f t="shared" si="580"/>
        <v>나 혼자만 일일 보상</v>
      </c>
      <c r="J4403">
        <v>0</v>
      </c>
      <c r="K4403">
        <v>0</v>
      </c>
      <c r="L4403">
        <v>0</v>
      </c>
      <c r="M4403">
        <v>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2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T4403" t="str">
        <f t="shared" si="581"/>
        <v>9791159286889</v>
      </c>
      <c r="AV4403" t="str">
        <f t="shared" si="582"/>
        <v>판타지 웹소설 &gt; 현대 판타지</v>
      </c>
    </row>
    <row r="4404" spans="1:48" x14ac:dyDescent="0.4">
      <c r="A4404">
        <v>2313002926</v>
      </c>
      <c r="B4404">
        <v>2313002931</v>
      </c>
      <c r="C4404" t="str">
        <f>T("나 혼자만 일일 보상 6화")</f>
        <v>나 혼자만 일일 보상 6화</v>
      </c>
      <c r="D4404" t="str">
        <f>T("6")</f>
        <v>6</v>
      </c>
      <c r="E4404" t="str">
        <f t="shared" si="578"/>
        <v>이동열</v>
      </c>
      <c r="H4404" t="str">
        <f t="shared" si="576"/>
        <v>스토리위즈</v>
      </c>
      <c r="I4404" t="str">
        <f t="shared" si="580"/>
        <v>나 혼자만 일일 보상</v>
      </c>
      <c r="J4404">
        <v>0</v>
      </c>
      <c r="K4404">
        <v>0</v>
      </c>
      <c r="L4404">
        <v>0</v>
      </c>
      <c r="M4404">
        <v>2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2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T4404" t="str">
        <f t="shared" si="581"/>
        <v>9791159286889</v>
      </c>
      <c r="AV4404" t="str">
        <f t="shared" si="582"/>
        <v>판타지 웹소설 &gt; 현대 판타지</v>
      </c>
    </row>
    <row r="4405" spans="1:48" x14ac:dyDescent="0.4">
      <c r="A4405">
        <v>2313002926</v>
      </c>
      <c r="B4405">
        <v>2313002932</v>
      </c>
      <c r="C4405" t="str">
        <f>T("나 혼자만 일일 보상 7화")</f>
        <v>나 혼자만 일일 보상 7화</v>
      </c>
      <c r="D4405" t="str">
        <f>T("7")</f>
        <v>7</v>
      </c>
      <c r="E4405" t="str">
        <f t="shared" si="578"/>
        <v>이동열</v>
      </c>
      <c r="H4405" t="str">
        <f t="shared" si="576"/>
        <v>스토리위즈</v>
      </c>
      <c r="I4405" t="str">
        <f t="shared" si="580"/>
        <v>나 혼자만 일일 보상</v>
      </c>
      <c r="J4405">
        <v>0</v>
      </c>
      <c r="K4405">
        <v>0</v>
      </c>
      <c r="L4405">
        <v>0</v>
      </c>
      <c r="M4405">
        <v>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2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T4405" t="str">
        <f t="shared" si="581"/>
        <v>9791159286889</v>
      </c>
      <c r="AV4405" t="str">
        <f t="shared" si="582"/>
        <v>판타지 웹소설 &gt; 현대 판타지</v>
      </c>
    </row>
    <row r="4406" spans="1:48" x14ac:dyDescent="0.4">
      <c r="A4406">
        <v>2313002926</v>
      </c>
      <c r="B4406">
        <v>2313002933</v>
      </c>
      <c r="C4406" t="str">
        <f>T("나 혼자만 일일 보상 8화")</f>
        <v>나 혼자만 일일 보상 8화</v>
      </c>
      <c r="D4406" t="str">
        <f>T("8")</f>
        <v>8</v>
      </c>
      <c r="E4406" t="str">
        <f t="shared" si="578"/>
        <v>이동열</v>
      </c>
      <c r="H4406" t="str">
        <f t="shared" si="576"/>
        <v>스토리위즈</v>
      </c>
      <c r="I4406" t="str">
        <f t="shared" si="580"/>
        <v>나 혼자만 일일 보상</v>
      </c>
      <c r="J4406">
        <v>0</v>
      </c>
      <c r="K4406">
        <v>0</v>
      </c>
      <c r="L4406">
        <v>0</v>
      </c>
      <c r="M4406">
        <v>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2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T4406" t="str">
        <f t="shared" si="581"/>
        <v>9791159286889</v>
      </c>
      <c r="AV4406" t="str">
        <f t="shared" si="582"/>
        <v>판타지 웹소설 &gt; 현대 판타지</v>
      </c>
    </row>
    <row r="4407" spans="1:48" x14ac:dyDescent="0.4">
      <c r="A4407">
        <v>2313002926</v>
      </c>
      <c r="B4407">
        <v>2313002934</v>
      </c>
      <c r="C4407" t="str">
        <f>T("나 혼자만 일일 보상 9화")</f>
        <v>나 혼자만 일일 보상 9화</v>
      </c>
      <c r="D4407" t="str">
        <f>T("9")</f>
        <v>9</v>
      </c>
      <c r="E4407" t="str">
        <f t="shared" si="578"/>
        <v>이동열</v>
      </c>
      <c r="H4407" t="str">
        <f t="shared" si="576"/>
        <v>스토리위즈</v>
      </c>
      <c r="I4407" t="str">
        <f t="shared" si="580"/>
        <v>나 혼자만 일일 보상</v>
      </c>
      <c r="J4407">
        <v>0</v>
      </c>
      <c r="K4407">
        <v>0</v>
      </c>
      <c r="L4407">
        <v>0</v>
      </c>
      <c r="M4407">
        <v>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2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T4407" t="str">
        <f t="shared" si="581"/>
        <v>9791159286889</v>
      </c>
      <c r="AV4407" t="str">
        <f t="shared" si="582"/>
        <v>판타지 웹소설 &gt; 현대 판타지</v>
      </c>
    </row>
    <row r="4408" spans="1:48" x14ac:dyDescent="0.4">
      <c r="A4408">
        <v>2313002926</v>
      </c>
      <c r="B4408">
        <v>2313002935</v>
      </c>
      <c r="C4408" t="str">
        <f>T("나 혼자만 일일 보상 10화")</f>
        <v>나 혼자만 일일 보상 10화</v>
      </c>
      <c r="D4408" t="str">
        <f>T("10")</f>
        <v>10</v>
      </c>
      <c r="E4408" t="str">
        <f t="shared" si="578"/>
        <v>이동열</v>
      </c>
      <c r="H4408" t="str">
        <f t="shared" si="576"/>
        <v>스토리위즈</v>
      </c>
      <c r="I4408" t="str">
        <f t="shared" si="580"/>
        <v>나 혼자만 일일 보상</v>
      </c>
      <c r="J4408">
        <v>0</v>
      </c>
      <c r="K4408">
        <v>0</v>
      </c>
      <c r="L4408">
        <v>0</v>
      </c>
      <c r="M4408">
        <v>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2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T4408" t="str">
        <f t="shared" si="581"/>
        <v>9791159286889</v>
      </c>
      <c r="AV4408" t="str">
        <f t="shared" si="582"/>
        <v>판타지 웹소설 &gt; 현대 판타지</v>
      </c>
    </row>
    <row r="4409" spans="1:48" x14ac:dyDescent="0.4">
      <c r="A4409">
        <v>2313002926</v>
      </c>
      <c r="B4409">
        <v>2313002936</v>
      </c>
      <c r="C4409" t="str">
        <f>T("나 혼자만 일일 보상 11화")</f>
        <v>나 혼자만 일일 보상 11화</v>
      </c>
      <c r="D4409" t="str">
        <f>T("11")</f>
        <v>11</v>
      </c>
      <c r="E4409" t="str">
        <f t="shared" si="578"/>
        <v>이동열</v>
      </c>
      <c r="H4409" t="str">
        <f t="shared" si="576"/>
        <v>스토리위즈</v>
      </c>
      <c r="I4409" t="str">
        <f t="shared" si="580"/>
        <v>나 혼자만 일일 보상</v>
      </c>
      <c r="J4409">
        <v>0</v>
      </c>
      <c r="K4409">
        <v>0</v>
      </c>
      <c r="L4409">
        <v>0</v>
      </c>
      <c r="M4409">
        <v>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2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T4409" t="str">
        <f t="shared" si="581"/>
        <v>9791159286889</v>
      </c>
      <c r="AV4409" t="str">
        <f t="shared" si="582"/>
        <v>판타지 웹소설 &gt; 현대 판타지</v>
      </c>
    </row>
    <row r="4410" spans="1:48" x14ac:dyDescent="0.4">
      <c r="A4410">
        <v>2313002926</v>
      </c>
      <c r="B4410">
        <v>2313002937</v>
      </c>
      <c r="C4410" t="str">
        <f>T("나 혼자만 일일 보상 12화")</f>
        <v>나 혼자만 일일 보상 12화</v>
      </c>
      <c r="D4410" t="str">
        <f>T("12")</f>
        <v>12</v>
      </c>
      <c r="E4410" t="str">
        <f t="shared" si="578"/>
        <v>이동열</v>
      </c>
      <c r="H4410" t="str">
        <f t="shared" si="576"/>
        <v>스토리위즈</v>
      </c>
      <c r="I4410" t="str">
        <f t="shared" si="580"/>
        <v>나 혼자만 일일 보상</v>
      </c>
      <c r="J4410">
        <v>0</v>
      </c>
      <c r="K4410">
        <v>0</v>
      </c>
      <c r="L4410">
        <v>0</v>
      </c>
      <c r="M4410">
        <v>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2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T4410" t="str">
        <f t="shared" si="581"/>
        <v>9791159286889</v>
      </c>
      <c r="AV4410" t="str">
        <f t="shared" si="582"/>
        <v>판타지 웹소설 &gt; 현대 판타지</v>
      </c>
    </row>
    <row r="4411" spans="1:48" x14ac:dyDescent="0.4">
      <c r="A4411">
        <v>2313002926</v>
      </c>
      <c r="B4411">
        <v>2313002938</v>
      </c>
      <c r="C4411" t="str">
        <f>T("나 혼자만 일일 보상 13화")</f>
        <v>나 혼자만 일일 보상 13화</v>
      </c>
      <c r="D4411" t="str">
        <f>T("13")</f>
        <v>13</v>
      </c>
      <c r="E4411" t="str">
        <f t="shared" si="578"/>
        <v>이동열</v>
      </c>
      <c r="H4411" t="str">
        <f t="shared" si="576"/>
        <v>스토리위즈</v>
      </c>
      <c r="I4411" t="str">
        <f t="shared" si="580"/>
        <v>나 혼자만 일일 보상</v>
      </c>
      <c r="J4411">
        <v>0</v>
      </c>
      <c r="K4411">
        <v>0</v>
      </c>
      <c r="L4411">
        <v>0</v>
      </c>
      <c r="M4411">
        <v>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2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T4411" t="str">
        <f t="shared" si="581"/>
        <v>9791159286889</v>
      </c>
      <c r="AV4411" t="str">
        <f t="shared" si="582"/>
        <v>판타지 웹소설 &gt; 현대 판타지</v>
      </c>
    </row>
    <row r="4412" spans="1:48" x14ac:dyDescent="0.4">
      <c r="A4412">
        <v>2313002926</v>
      </c>
      <c r="B4412">
        <v>2313002939</v>
      </c>
      <c r="C4412" t="str">
        <f>T("나 혼자만 일일 보상 14화")</f>
        <v>나 혼자만 일일 보상 14화</v>
      </c>
      <c r="D4412" t="str">
        <f>T("14")</f>
        <v>14</v>
      </c>
      <c r="E4412" t="str">
        <f t="shared" si="578"/>
        <v>이동열</v>
      </c>
      <c r="H4412" t="str">
        <f t="shared" si="576"/>
        <v>스토리위즈</v>
      </c>
      <c r="I4412" t="str">
        <f t="shared" si="580"/>
        <v>나 혼자만 일일 보상</v>
      </c>
      <c r="J4412">
        <v>0</v>
      </c>
      <c r="K4412">
        <v>0</v>
      </c>
      <c r="L4412">
        <v>0</v>
      </c>
      <c r="M4412">
        <v>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2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T4412" t="str">
        <f t="shared" si="581"/>
        <v>9791159286889</v>
      </c>
      <c r="AV4412" t="str">
        <f t="shared" si="582"/>
        <v>판타지 웹소설 &gt; 현대 판타지</v>
      </c>
    </row>
    <row r="4413" spans="1:48" x14ac:dyDescent="0.4">
      <c r="A4413">
        <v>2313002926</v>
      </c>
      <c r="B4413">
        <v>2313002940</v>
      </c>
      <c r="C4413" t="str">
        <f>T("나 혼자만 일일 보상 15화")</f>
        <v>나 혼자만 일일 보상 15화</v>
      </c>
      <c r="D4413" t="str">
        <f>T("15")</f>
        <v>15</v>
      </c>
      <c r="E4413" t="str">
        <f t="shared" si="578"/>
        <v>이동열</v>
      </c>
      <c r="H4413" t="str">
        <f t="shared" si="576"/>
        <v>스토리위즈</v>
      </c>
      <c r="I4413" t="str">
        <f t="shared" si="580"/>
        <v>나 혼자만 일일 보상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T4413" t="str">
        <f t="shared" si="581"/>
        <v>9791159286889</v>
      </c>
      <c r="AV4413" t="str">
        <f t="shared" si="582"/>
        <v>판타지 웹소설 &gt; 현대 판타지</v>
      </c>
    </row>
    <row r="4414" spans="1:48" x14ac:dyDescent="0.4">
      <c r="A4414">
        <v>2313002926</v>
      </c>
      <c r="B4414">
        <v>2313002941</v>
      </c>
      <c r="C4414" t="str">
        <f>T("나 혼자만 일일 보상 16화")</f>
        <v>나 혼자만 일일 보상 16화</v>
      </c>
      <c r="D4414" t="str">
        <f>T("16")</f>
        <v>16</v>
      </c>
      <c r="E4414" t="str">
        <f t="shared" si="578"/>
        <v>이동열</v>
      </c>
      <c r="H4414" t="str">
        <f t="shared" si="576"/>
        <v>스토리위즈</v>
      </c>
      <c r="I4414" t="str">
        <f t="shared" si="580"/>
        <v>나 혼자만 일일 보상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T4414" t="str">
        <f t="shared" si="581"/>
        <v>9791159286889</v>
      </c>
      <c r="AV4414" t="str">
        <f t="shared" si="582"/>
        <v>판타지 웹소설 &gt; 현대 판타지</v>
      </c>
    </row>
    <row r="4415" spans="1:48" x14ac:dyDescent="0.4">
      <c r="A4415">
        <v>2313002926</v>
      </c>
      <c r="B4415">
        <v>2313002942</v>
      </c>
      <c r="C4415" t="str">
        <f>T("나 혼자만 일일 보상 17화")</f>
        <v>나 혼자만 일일 보상 17화</v>
      </c>
      <c r="D4415" t="str">
        <f>T("17")</f>
        <v>17</v>
      </c>
      <c r="E4415" t="str">
        <f t="shared" si="578"/>
        <v>이동열</v>
      </c>
      <c r="H4415" t="str">
        <f t="shared" si="576"/>
        <v>스토리위즈</v>
      </c>
      <c r="I4415" t="str">
        <f t="shared" si="580"/>
        <v>나 혼자만 일일 보상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T4415" t="str">
        <f t="shared" si="581"/>
        <v>9791159286889</v>
      </c>
      <c r="AV4415" t="str">
        <f t="shared" si="582"/>
        <v>판타지 웹소설 &gt; 현대 판타지</v>
      </c>
    </row>
    <row r="4416" spans="1:48" x14ac:dyDescent="0.4">
      <c r="A4416">
        <v>2313002926</v>
      </c>
      <c r="B4416">
        <v>2313002943</v>
      </c>
      <c r="C4416" t="str">
        <f>T("나 혼자만 일일 보상 18화")</f>
        <v>나 혼자만 일일 보상 18화</v>
      </c>
      <c r="D4416" t="str">
        <f>T("18")</f>
        <v>18</v>
      </c>
      <c r="E4416" t="str">
        <f t="shared" si="578"/>
        <v>이동열</v>
      </c>
      <c r="H4416" t="str">
        <f t="shared" si="576"/>
        <v>스토리위즈</v>
      </c>
      <c r="I4416" t="str">
        <f t="shared" si="580"/>
        <v>나 혼자만 일일 보상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T4416" t="str">
        <f t="shared" si="581"/>
        <v>9791159286889</v>
      </c>
      <c r="AV4416" t="str">
        <f t="shared" si="582"/>
        <v>판타지 웹소설 &gt; 현대 판타지</v>
      </c>
    </row>
    <row r="4417" spans="1:48" x14ac:dyDescent="0.4">
      <c r="A4417">
        <v>2313002926</v>
      </c>
      <c r="B4417">
        <v>2313002944</v>
      </c>
      <c r="C4417" t="str">
        <f>T("나 혼자만 일일 보상 19화")</f>
        <v>나 혼자만 일일 보상 19화</v>
      </c>
      <c r="D4417" t="str">
        <f>T("19")</f>
        <v>19</v>
      </c>
      <c r="E4417" t="str">
        <f t="shared" si="578"/>
        <v>이동열</v>
      </c>
      <c r="H4417" t="str">
        <f t="shared" si="576"/>
        <v>스토리위즈</v>
      </c>
      <c r="I4417" t="str">
        <f t="shared" si="580"/>
        <v>나 혼자만 일일 보상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T4417" t="str">
        <f t="shared" si="581"/>
        <v>9791159286889</v>
      </c>
      <c r="AV4417" t="str">
        <f t="shared" si="582"/>
        <v>판타지 웹소설 &gt; 현대 판타지</v>
      </c>
    </row>
    <row r="4418" spans="1:48" x14ac:dyDescent="0.4">
      <c r="A4418">
        <v>2313002926</v>
      </c>
      <c r="B4418">
        <v>2313002945</v>
      </c>
      <c r="C4418" t="str">
        <f>T("나 혼자만 일일 보상 20화")</f>
        <v>나 혼자만 일일 보상 20화</v>
      </c>
      <c r="D4418" t="str">
        <f>T("20")</f>
        <v>20</v>
      </c>
      <c r="E4418" t="str">
        <f t="shared" si="578"/>
        <v>이동열</v>
      </c>
      <c r="H4418" t="str">
        <f t="shared" si="576"/>
        <v>스토리위즈</v>
      </c>
      <c r="I4418" t="str">
        <f t="shared" si="580"/>
        <v>나 혼자만 일일 보상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T4418" t="str">
        <f t="shared" si="581"/>
        <v>9791159286889</v>
      </c>
      <c r="AV4418" t="str">
        <f t="shared" si="582"/>
        <v>판타지 웹소설 &gt; 현대 판타지</v>
      </c>
    </row>
    <row r="4419" spans="1:48" x14ac:dyDescent="0.4">
      <c r="A4419">
        <v>2313002926</v>
      </c>
      <c r="B4419">
        <v>2313002946</v>
      </c>
      <c r="C4419" t="str">
        <f>T("나 혼자만 일일 보상 21화")</f>
        <v>나 혼자만 일일 보상 21화</v>
      </c>
      <c r="D4419" t="str">
        <f>T("21")</f>
        <v>21</v>
      </c>
      <c r="E4419" t="str">
        <f t="shared" si="578"/>
        <v>이동열</v>
      </c>
      <c r="H4419" t="str">
        <f t="shared" si="576"/>
        <v>스토리위즈</v>
      </c>
      <c r="I4419" t="str">
        <f t="shared" si="580"/>
        <v>나 혼자만 일일 보상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T4419" t="str">
        <f t="shared" si="581"/>
        <v>9791159286889</v>
      </c>
      <c r="AV4419" t="str">
        <f t="shared" si="582"/>
        <v>판타지 웹소설 &gt; 현대 판타지</v>
      </c>
    </row>
    <row r="4420" spans="1:48" x14ac:dyDescent="0.4">
      <c r="A4420">
        <v>2313002926</v>
      </c>
      <c r="B4420">
        <v>2313002947</v>
      </c>
      <c r="C4420" t="str">
        <f>T("나 혼자만 일일 보상 22화")</f>
        <v>나 혼자만 일일 보상 22화</v>
      </c>
      <c r="D4420" t="str">
        <f>T("22")</f>
        <v>22</v>
      </c>
      <c r="E4420" t="str">
        <f t="shared" si="578"/>
        <v>이동열</v>
      </c>
      <c r="H4420" t="str">
        <f t="shared" si="576"/>
        <v>스토리위즈</v>
      </c>
      <c r="I4420" t="str">
        <f t="shared" si="580"/>
        <v>나 혼자만 일일 보상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T4420" t="str">
        <f t="shared" si="581"/>
        <v>9791159286889</v>
      </c>
      <c r="AV4420" t="str">
        <f t="shared" si="582"/>
        <v>판타지 웹소설 &gt; 현대 판타지</v>
      </c>
    </row>
    <row r="4421" spans="1:48" x14ac:dyDescent="0.4">
      <c r="A4421">
        <v>2313002926</v>
      </c>
      <c r="B4421">
        <v>2313002948</v>
      </c>
      <c r="C4421" t="str">
        <f>T("나 혼자만 일일 보상 23화")</f>
        <v>나 혼자만 일일 보상 23화</v>
      </c>
      <c r="D4421" t="str">
        <f>T("23")</f>
        <v>23</v>
      </c>
      <c r="E4421" t="str">
        <f t="shared" si="578"/>
        <v>이동열</v>
      </c>
      <c r="H4421" t="str">
        <f t="shared" si="576"/>
        <v>스토리위즈</v>
      </c>
      <c r="I4421" t="str">
        <f t="shared" si="580"/>
        <v>나 혼자만 일일 보상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T4421" t="str">
        <f t="shared" si="581"/>
        <v>9791159286889</v>
      </c>
      <c r="AV4421" t="str">
        <f t="shared" si="582"/>
        <v>판타지 웹소설 &gt; 현대 판타지</v>
      </c>
    </row>
    <row r="4422" spans="1:48" x14ac:dyDescent="0.4">
      <c r="A4422">
        <v>2313002926</v>
      </c>
      <c r="B4422">
        <v>2313002949</v>
      </c>
      <c r="C4422" t="str">
        <f>T("나 혼자만 일일 보상 24화")</f>
        <v>나 혼자만 일일 보상 24화</v>
      </c>
      <c r="D4422" t="str">
        <f>T("24")</f>
        <v>24</v>
      </c>
      <c r="E4422" t="str">
        <f t="shared" si="578"/>
        <v>이동열</v>
      </c>
      <c r="H4422" t="str">
        <f t="shared" si="576"/>
        <v>스토리위즈</v>
      </c>
      <c r="I4422" t="str">
        <f t="shared" si="580"/>
        <v>나 혼자만 일일 보상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T4422" t="str">
        <f t="shared" si="581"/>
        <v>9791159286889</v>
      </c>
      <c r="AV4422" t="str">
        <f t="shared" si="582"/>
        <v>판타지 웹소설 &gt; 현대 판타지</v>
      </c>
    </row>
    <row r="4423" spans="1:48" x14ac:dyDescent="0.4">
      <c r="A4423">
        <v>2313002926</v>
      </c>
      <c r="B4423">
        <v>2313002950</v>
      </c>
      <c r="C4423" t="str">
        <f>T("나 혼자만 일일 보상 25화")</f>
        <v>나 혼자만 일일 보상 25화</v>
      </c>
      <c r="D4423" t="str">
        <f>T("25")</f>
        <v>25</v>
      </c>
      <c r="E4423" t="str">
        <f t="shared" si="578"/>
        <v>이동열</v>
      </c>
      <c r="H4423" t="str">
        <f t="shared" si="576"/>
        <v>스토리위즈</v>
      </c>
      <c r="I4423" t="str">
        <f t="shared" si="580"/>
        <v>나 혼자만 일일 보상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1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T4423" t="str">
        <f t="shared" si="581"/>
        <v>9791159286889</v>
      </c>
      <c r="AV4423" t="str">
        <f t="shared" si="582"/>
        <v>판타지 웹소설 &gt; 현대 판타지</v>
      </c>
    </row>
    <row r="4424" spans="1:48" x14ac:dyDescent="0.4">
      <c r="A4424">
        <v>2313003101</v>
      </c>
      <c r="B4424">
        <v>2313003101</v>
      </c>
      <c r="C4424" t="str">
        <f>T("로드 오브 머니 1화")</f>
        <v>로드 오브 머니 1화</v>
      </c>
      <c r="D4424" t="str">
        <f>T("1")</f>
        <v>1</v>
      </c>
      <c r="E4424" t="str">
        <f t="shared" ref="E4424:E4446" si="583">T("무장")</f>
        <v>무장</v>
      </c>
      <c r="H4424" t="str">
        <f t="shared" si="576"/>
        <v>스토리위즈</v>
      </c>
      <c r="I4424" t="str">
        <f t="shared" ref="I4424:I4446" si="584">T("로드 오브 머니")</f>
        <v>로드 오브 머니</v>
      </c>
      <c r="J4424">
        <v>0</v>
      </c>
      <c r="K4424">
        <v>0</v>
      </c>
      <c r="L4424">
        <v>0</v>
      </c>
      <c r="M4424">
        <v>12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12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T4424" t="str">
        <f t="shared" ref="AT4424:AT4446" si="585">T("9791188630066")</f>
        <v>9791188630066</v>
      </c>
      <c r="AV4424" t="str">
        <f t="shared" si="582"/>
        <v>판타지 웹소설 &gt; 현대 판타지</v>
      </c>
    </row>
    <row r="4425" spans="1:48" x14ac:dyDescent="0.4">
      <c r="A4425">
        <v>2313003101</v>
      </c>
      <c r="B4425">
        <v>2313003102</v>
      </c>
      <c r="C4425" t="str">
        <f>T("로드 오브 머니 2화")</f>
        <v>로드 오브 머니 2화</v>
      </c>
      <c r="D4425" t="str">
        <f>T("2")</f>
        <v>2</v>
      </c>
      <c r="E4425" t="str">
        <f t="shared" si="583"/>
        <v>무장</v>
      </c>
      <c r="H4425" t="str">
        <f t="shared" si="576"/>
        <v>스토리위즈</v>
      </c>
      <c r="I4425" t="str">
        <f t="shared" si="584"/>
        <v>로드 오브 머니</v>
      </c>
      <c r="J4425">
        <v>0</v>
      </c>
      <c r="K4425">
        <v>0</v>
      </c>
      <c r="L4425">
        <v>0</v>
      </c>
      <c r="M4425">
        <v>9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9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T4425" t="str">
        <f t="shared" si="585"/>
        <v>9791188630066</v>
      </c>
      <c r="AV4425" t="str">
        <f t="shared" si="582"/>
        <v>판타지 웹소설 &gt; 현대 판타지</v>
      </c>
    </row>
    <row r="4426" spans="1:48" x14ac:dyDescent="0.4">
      <c r="A4426">
        <v>2313003101</v>
      </c>
      <c r="B4426">
        <v>2313003103</v>
      </c>
      <c r="C4426" t="str">
        <f>T("로드 오브 머니 3화")</f>
        <v>로드 오브 머니 3화</v>
      </c>
      <c r="D4426" t="str">
        <f>T("3")</f>
        <v>3</v>
      </c>
      <c r="E4426" t="str">
        <f t="shared" si="583"/>
        <v>무장</v>
      </c>
      <c r="H4426" t="str">
        <f t="shared" si="576"/>
        <v>스토리위즈</v>
      </c>
      <c r="I4426" t="str">
        <f t="shared" si="584"/>
        <v>로드 오브 머니</v>
      </c>
      <c r="J4426">
        <v>0</v>
      </c>
      <c r="K4426">
        <v>0</v>
      </c>
      <c r="L4426">
        <v>0</v>
      </c>
      <c r="M4426">
        <v>8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8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T4426" t="str">
        <f t="shared" si="585"/>
        <v>9791188630066</v>
      </c>
      <c r="AV4426" t="str">
        <f t="shared" si="582"/>
        <v>판타지 웹소설 &gt; 현대 판타지</v>
      </c>
    </row>
    <row r="4427" spans="1:48" x14ac:dyDescent="0.4">
      <c r="A4427">
        <v>2313003101</v>
      </c>
      <c r="B4427">
        <v>2313003104</v>
      </c>
      <c r="C4427" t="str">
        <f>T("로드 오브 머니 4화")</f>
        <v>로드 오브 머니 4화</v>
      </c>
      <c r="D4427" t="str">
        <f>T("4")</f>
        <v>4</v>
      </c>
      <c r="E4427" t="str">
        <f t="shared" si="583"/>
        <v>무장</v>
      </c>
      <c r="H4427" t="str">
        <f t="shared" si="576"/>
        <v>스토리위즈</v>
      </c>
      <c r="I4427" t="str">
        <f t="shared" si="584"/>
        <v>로드 오브 머니</v>
      </c>
      <c r="J4427">
        <v>0</v>
      </c>
      <c r="K4427">
        <v>0</v>
      </c>
      <c r="L4427">
        <v>0</v>
      </c>
      <c r="M4427">
        <v>6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6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T4427" t="str">
        <f t="shared" si="585"/>
        <v>9791188630066</v>
      </c>
      <c r="AV4427" t="str">
        <f t="shared" si="582"/>
        <v>판타지 웹소설 &gt; 현대 판타지</v>
      </c>
    </row>
    <row r="4428" spans="1:48" x14ac:dyDescent="0.4">
      <c r="A4428">
        <v>2313003101</v>
      </c>
      <c r="B4428">
        <v>2313003105</v>
      </c>
      <c r="C4428" t="str">
        <f>T("로드 오브 머니 5화")</f>
        <v>로드 오브 머니 5화</v>
      </c>
      <c r="D4428" t="str">
        <f>T("5")</f>
        <v>5</v>
      </c>
      <c r="E4428" t="str">
        <f t="shared" si="583"/>
        <v>무장</v>
      </c>
      <c r="H4428" t="str">
        <f t="shared" si="576"/>
        <v>스토리위즈</v>
      </c>
      <c r="I4428" t="str">
        <f t="shared" si="584"/>
        <v>로드 오브 머니</v>
      </c>
      <c r="J4428">
        <v>0</v>
      </c>
      <c r="K4428">
        <v>0</v>
      </c>
      <c r="L4428">
        <v>0</v>
      </c>
      <c r="M4428">
        <v>6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6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T4428" t="str">
        <f t="shared" si="585"/>
        <v>9791188630066</v>
      </c>
      <c r="AV4428" t="str">
        <f t="shared" si="582"/>
        <v>판타지 웹소설 &gt; 현대 판타지</v>
      </c>
    </row>
    <row r="4429" spans="1:48" x14ac:dyDescent="0.4">
      <c r="A4429">
        <v>2313003101</v>
      </c>
      <c r="B4429">
        <v>2313003106</v>
      </c>
      <c r="C4429" t="str">
        <f>T("로드 오브 머니 6화")</f>
        <v>로드 오브 머니 6화</v>
      </c>
      <c r="D4429" t="str">
        <f>T("6")</f>
        <v>6</v>
      </c>
      <c r="E4429" t="str">
        <f t="shared" si="583"/>
        <v>무장</v>
      </c>
      <c r="H4429" t="str">
        <f t="shared" si="576"/>
        <v>스토리위즈</v>
      </c>
      <c r="I4429" t="str">
        <f t="shared" si="584"/>
        <v>로드 오브 머니</v>
      </c>
      <c r="J4429">
        <v>0</v>
      </c>
      <c r="K4429">
        <v>0</v>
      </c>
      <c r="L4429">
        <v>0</v>
      </c>
      <c r="M4429">
        <v>6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6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T4429" t="str">
        <f t="shared" si="585"/>
        <v>9791188630066</v>
      </c>
      <c r="AV4429" t="str">
        <f t="shared" si="582"/>
        <v>판타지 웹소설 &gt; 현대 판타지</v>
      </c>
    </row>
    <row r="4430" spans="1:48" x14ac:dyDescent="0.4">
      <c r="A4430">
        <v>2313003101</v>
      </c>
      <c r="B4430">
        <v>2313003107</v>
      </c>
      <c r="C4430" t="str">
        <f>T("로드 오브 머니 7화")</f>
        <v>로드 오브 머니 7화</v>
      </c>
      <c r="D4430" t="str">
        <f>T("7")</f>
        <v>7</v>
      </c>
      <c r="E4430" t="str">
        <f t="shared" si="583"/>
        <v>무장</v>
      </c>
      <c r="H4430" t="str">
        <f t="shared" si="576"/>
        <v>스토리위즈</v>
      </c>
      <c r="I4430" t="str">
        <f t="shared" si="584"/>
        <v>로드 오브 머니</v>
      </c>
      <c r="J4430">
        <v>0</v>
      </c>
      <c r="K4430">
        <v>0</v>
      </c>
      <c r="L4430">
        <v>0</v>
      </c>
      <c r="M4430">
        <v>5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5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T4430" t="str">
        <f t="shared" si="585"/>
        <v>9791188630066</v>
      </c>
      <c r="AV4430" t="str">
        <f t="shared" si="582"/>
        <v>판타지 웹소설 &gt; 현대 판타지</v>
      </c>
    </row>
    <row r="4431" spans="1:48" x14ac:dyDescent="0.4">
      <c r="A4431">
        <v>2313003101</v>
      </c>
      <c r="B4431">
        <v>2313003108</v>
      </c>
      <c r="C4431" t="str">
        <f>T("로드 오브 머니 8화")</f>
        <v>로드 오브 머니 8화</v>
      </c>
      <c r="D4431" t="str">
        <f>T("8")</f>
        <v>8</v>
      </c>
      <c r="E4431" t="str">
        <f t="shared" si="583"/>
        <v>무장</v>
      </c>
      <c r="H4431" t="str">
        <f t="shared" si="576"/>
        <v>스토리위즈</v>
      </c>
      <c r="I4431" t="str">
        <f t="shared" si="584"/>
        <v>로드 오브 머니</v>
      </c>
      <c r="J4431">
        <v>0</v>
      </c>
      <c r="K4431">
        <v>0</v>
      </c>
      <c r="L4431">
        <v>0</v>
      </c>
      <c r="M4431">
        <v>5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5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T4431" t="str">
        <f t="shared" si="585"/>
        <v>9791188630066</v>
      </c>
      <c r="AV4431" t="str">
        <f t="shared" si="582"/>
        <v>판타지 웹소설 &gt; 현대 판타지</v>
      </c>
    </row>
    <row r="4432" spans="1:48" x14ac:dyDescent="0.4">
      <c r="A4432">
        <v>2313003101</v>
      </c>
      <c r="B4432">
        <v>2313003109</v>
      </c>
      <c r="C4432" t="str">
        <f>T("로드 오브 머니 9화")</f>
        <v>로드 오브 머니 9화</v>
      </c>
      <c r="D4432" t="str">
        <f>T("9")</f>
        <v>9</v>
      </c>
      <c r="E4432" t="str">
        <f t="shared" si="583"/>
        <v>무장</v>
      </c>
      <c r="H4432" t="str">
        <f t="shared" si="576"/>
        <v>스토리위즈</v>
      </c>
      <c r="I4432" t="str">
        <f t="shared" si="584"/>
        <v>로드 오브 머니</v>
      </c>
      <c r="J4432">
        <v>0</v>
      </c>
      <c r="K4432">
        <v>0</v>
      </c>
      <c r="L4432">
        <v>0</v>
      </c>
      <c r="M4432">
        <v>5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5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T4432" t="str">
        <f t="shared" si="585"/>
        <v>9791188630066</v>
      </c>
      <c r="AV4432" t="str">
        <f t="shared" si="582"/>
        <v>판타지 웹소설 &gt; 현대 판타지</v>
      </c>
    </row>
    <row r="4433" spans="1:48" x14ac:dyDescent="0.4">
      <c r="A4433">
        <v>2313003101</v>
      </c>
      <c r="B4433">
        <v>2313003110</v>
      </c>
      <c r="C4433" t="str">
        <f>T("로드 오브 머니 10화")</f>
        <v>로드 오브 머니 10화</v>
      </c>
      <c r="D4433" t="str">
        <f>T("10")</f>
        <v>10</v>
      </c>
      <c r="E4433" t="str">
        <f t="shared" si="583"/>
        <v>무장</v>
      </c>
      <c r="H4433" t="str">
        <f t="shared" si="576"/>
        <v>스토리위즈</v>
      </c>
      <c r="I4433" t="str">
        <f t="shared" si="584"/>
        <v>로드 오브 머니</v>
      </c>
      <c r="J4433">
        <v>0</v>
      </c>
      <c r="K4433">
        <v>0</v>
      </c>
      <c r="L4433">
        <v>0</v>
      </c>
      <c r="M4433">
        <v>5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5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T4433" t="str">
        <f t="shared" si="585"/>
        <v>9791188630066</v>
      </c>
      <c r="AV4433" t="str">
        <f t="shared" si="582"/>
        <v>판타지 웹소설 &gt; 현대 판타지</v>
      </c>
    </row>
    <row r="4434" spans="1:48" x14ac:dyDescent="0.4">
      <c r="A4434">
        <v>2313003101</v>
      </c>
      <c r="B4434">
        <v>2313003111</v>
      </c>
      <c r="C4434" t="str">
        <f>T("로드 오브 머니 11화")</f>
        <v>로드 오브 머니 11화</v>
      </c>
      <c r="D4434" t="str">
        <f>T("11")</f>
        <v>11</v>
      </c>
      <c r="E4434" t="str">
        <f t="shared" si="583"/>
        <v>무장</v>
      </c>
      <c r="H4434" t="str">
        <f t="shared" si="576"/>
        <v>스토리위즈</v>
      </c>
      <c r="I4434" t="str">
        <f t="shared" si="584"/>
        <v>로드 오브 머니</v>
      </c>
      <c r="J4434">
        <v>0</v>
      </c>
      <c r="K4434">
        <v>0</v>
      </c>
      <c r="L4434">
        <v>0</v>
      </c>
      <c r="M4434">
        <v>5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5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T4434" t="str">
        <f t="shared" si="585"/>
        <v>9791188630066</v>
      </c>
      <c r="AV4434" t="str">
        <f t="shared" si="582"/>
        <v>판타지 웹소설 &gt; 현대 판타지</v>
      </c>
    </row>
    <row r="4435" spans="1:48" x14ac:dyDescent="0.4">
      <c r="A4435">
        <v>2313003101</v>
      </c>
      <c r="B4435">
        <v>2313003112</v>
      </c>
      <c r="C4435" t="str">
        <f>T("로드 오브 머니 12화")</f>
        <v>로드 오브 머니 12화</v>
      </c>
      <c r="D4435" t="str">
        <f>T("12")</f>
        <v>12</v>
      </c>
      <c r="E4435" t="str">
        <f t="shared" si="583"/>
        <v>무장</v>
      </c>
      <c r="H4435" t="str">
        <f t="shared" si="576"/>
        <v>스토리위즈</v>
      </c>
      <c r="I4435" t="str">
        <f t="shared" si="584"/>
        <v>로드 오브 머니</v>
      </c>
      <c r="J4435">
        <v>0</v>
      </c>
      <c r="K4435">
        <v>0</v>
      </c>
      <c r="L4435">
        <v>0</v>
      </c>
      <c r="M4435">
        <v>5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5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T4435" t="str">
        <f t="shared" si="585"/>
        <v>9791188630066</v>
      </c>
      <c r="AV4435" t="str">
        <f t="shared" si="582"/>
        <v>판타지 웹소설 &gt; 현대 판타지</v>
      </c>
    </row>
    <row r="4436" spans="1:48" x14ac:dyDescent="0.4">
      <c r="A4436">
        <v>2313003101</v>
      </c>
      <c r="B4436">
        <v>2313003113</v>
      </c>
      <c r="C4436" t="str">
        <f>T("로드 오브 머니 13화")</f>
        <v>로드 오브 머니 13화</v>
      </c>
      <c r="D4436" t="str">
        <f>T("13")</f>
        <v>13</v>
      </c>
      <c r="E4436" t="str">
        <f t="shared" si="583"/>
        <v>무장</v>
      </c>
      <c r="H4436" t="str">
        <f t="shared" si="576"/>
        <v>스토리위즈</v>
      </c>
      <c r="I4436" t="str">
        <f t="shared" si="584"/>
        <v>로드 오브 머니</v>
      </c>
      <c r="J4436">
        <v>0</v>
      </c>
      <c r="K4436">
        <v>0</v>
      </c>
      <c r="L4436">
        <v>0</v>
      </c>
      <c r="M4436">
        <v>5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5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T4436" t="str">
        <f t="shared" si="585"/>
        <v>9791188630066</v>
      </c>
      <c r="AV4436" t="str">
        <f t="shared" si="582"/>
        <v>판타지 웹소설 &gt; 현대 판타지</v>
      </c>
    </row>
    <row r="4437" spans="1:48" x14ac:dyDescent="0.4">
      <c r="A4437">
        <v>2313003101</v>
      </c>
      <c r="B4437">
        <v>2313003114</v>
      </c>
      <c r="C4437" t="str">
        <f>T("로드 오브 머니 14화")</f>
        <v>로드 오브 머니 14화</v>
      </c>
      <c r="D4437" t="str">
        <f>T("14")</f>
        <v>14</v>
      </c>
      <c r="E4437" t="str">
        <f t="shared" si="583"/>
        <v>무장</v>
      </c>
      <c r="H4437" t="str">
        <f t="shared" si="576"/>
        <v>스토리위즈</v>
      </c>
      <c r="I4437" t="str">
        <f t="shared" si="584"/>
        <v>로드 오브 머니</v>
      </c>
      <c r="J4437">
        <v>0</v>
      </c>
      <c r="K4437">
        <v>0</v>
      </c>
      <c r="L4437">
        <v>0</v>
      </c>
      <c r="M4437">
        <v>5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5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T4437" t="str">
        <f t="shared" si="585"/>
        <v>9791188630066</v>
      </c>
      <c r="AV4437" t="str">
        <f t="shared" si="582"/>
        <v>판타지 웹소설 &gt; 현대 판타지</v>
      </c>
    </row>
    <row r="4438" spans="1:48" x14ac:dyDescent="0.4">
      <c r="A4438">
        <v>2313003101</v>
      </c>
      <c r="B4438">
        <v>2313003115</v>
      </c>
      <c r="C4438" t="str">
        <f>T("로드 오브 머니 15화")</f>
        <v>로드 오브 머니 15화</v>
      </c>
      <c r="D4438" t="str">
        <f>T("15")</f>
        <v>15</v>
      </c>
      <c r="E4438" t="str">
        <f t="shared" si="583"/>
        <v>무장</v>
      </c>
      <c r="H4438" t="str">
        <f t="shared" si="576"/>
        <v>스토리위즈</v>
      </c>
      <c r="I4438" t="str">
        <f t="shared" si="584"/>
        <v>로드 오브 머니</v>
      </c>
      <c r="J4438">
        <v>0</v>
      </c>
      <c r="K4438">
        <v>0</v>
      </c>
      <c r="L4438">
        <v>0</v>
      </c>
      <c r="M4438">
        <v>4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4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T4438" t="str">
        <f t="shared" si="585"/>
        <v>9791188630066</v>
      </c>
      <c r="AV4438" t="str">
        <f t="shared" si="582"/>
        <v>판타지 웹소설 &gt; 현대 판타지</v>
      </c>
    </row>
    <row r="4439" spans="1:48" x14ac:dyDescent="0.4">
      <c r="A4439">
        <v>2313003101</v>
      </c>
      <c r="B4439">
        <v>2313003116</v>
      </c>
      <c r="C4439" t="str">
        <f>T("로드 오브 머니 16화")</f>
        <v>로드 오브 머니 16화</v>
      </c>
      <c r="D4439" t="str">
        <f>T("16")</f>
        <v>16</v>
      </c>
      <c r="E4439" t="str">
        <f t="shared" si="583"/>
        <v>무장</v>
      </c>
      <c r="H4439" t="str">
        <f t="shared" si="576"/>
        <v>스토리위즈</v>
      </c>
      <c r="I4439" t="str">
        <f t="shared" si="584"/>
        <v>로드 오브 머니</v>
      </c>
      <c r="J4439">
        <v>0</v>
      </c>
      <c r="K4439">
        <v>0</v>
      </c>
      <c r="L4439">
        <v>0</v>
      </c>
      <c r="M4439">
        <v>4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4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T4439" t="str">
        <f t="shared" si="585"/>
        <v>9791188630066</v>
      </c>
      <c r="AV4439" t="str">
        <f t="shared" si="582"/>
        <v>판타지 웹소설 &gt; 현대 판타지</v>
      </c>
    </row>
    <row r="4440" spans="1:48" x14ac:dyDescent="0.4">
      <c r="A4440">
        <v>2313003101</v>
      </c>
      <c r="B4440">
        <v>2313003117</v>
      </c>
      <c r="C4440" t="str">
        <f>T("로드 오브 머니 17화")</f>
        <v>로드 오브 머니 17화</v>
      </c>
      <c r="D4440" t="str">
        <f>T("17")</f>
        <v>17</v>
      </c>
      <c r="E4440" t="str">
        <f t="shared" si="583"/>
        <v>무장</v>
      </c>
      <c r="H4440" t="str">
        <f t="shared" si="576"/>
        <v>스토리위즈</v>
      </c>
      <c r="I4440" t="str">
        <f t="shared" si="584"/>
        <v>로드 오브 머니</v>
      </c>
      <c r="J4440">
        <v>0</v>
      </c>
      <c r="K4440">
        <v>0</v>
      </c>
      <c r="L4440">
        <v>0</v>
      </c>
      <c r="M4440">
        <v>4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4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T4440" t="str">
        <f t="shared" si="585"/>
        <v>9791188630066</v>
      </c>
      <c r="AV4440" t="str">
        <f t="shared" si="582"/>
        <v>판타지 웹소설 &gt; 현대 판타지</v>
      </c>
    </row>
    <row r="4441" spans="1:48" x14ac:dyDescent="0.4">
      <c r="A4441">
        <v>2313003101</v>
      </c>
      <c r="B4441">
        <v>2313003118</v>
      </c>
      <c r="C4441" t="str">
        <f>T("로드 오브 머니 18화")</f>
        <v>로드 오브 머니 18화</v>
      </c>
      <c r="D4441" t="str">
        <f>T("18")</f>
        <v>18</v>
      </c>
      <c r="E4441" t="str">
        <f t="shared" si="583"/>
        <v>무장</v>
      </c>
      <c r="H4441" t="str">
        <f t="shared" si="576"/>
        <v>스토리위즈</v>
      </c>
      <c r="I4441" t="str">
        <f t="shared" si="584"/>
        <v>로드 오브 머니</v>
      </c>
      <c r="J4441">
        <v>0</v>
      </c>
      <c r="K4441">
        <v>0</v>
      </c>
      <c r="L4441">
        <v>0</v>
      </c>
      <c r="M4441">
        <v>4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4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T4441" t="str">
        <f t="shared" si="585"/>
        <v>9791188630066</v>
      </c>
      <c r="AV4441" t="str">
        <f t="shared" si="582"/>
        <v>판타지 웹소설 &gt; 현대 판타지</v>
      </c>
    </row>
    <row r="4442" spans="1:48" x14ac:dyDescent="0.4">
      <c r="A4442">
        <v>2313003101</v>
      </c>
      <c r="B4442">
        <v>2313003119</v>
      </c>
      <c r="C4442" t="str">
        <f>T("로드 오브 머니 19화")</f>
        <v>로드 오브 머니 19화</v>
      </c>
      <c r="D4442" t="str">
        <f>T("19")</f>
        <v>19</v>
      </c>
      <c r="E4442" t="str">
        <f t="shared" si="583"/>
        <v>무장</v>
      </c>
      <c r="H4442" t="str">
        <f t="shared" si="576"/>
        <v>스토리위즈</v>
      </c>
      <c r="I4442" t="str">
        <f t="shared" si="584"/>
        <v>로드 오브 머니</v>
      </c>
      <c r="J4442">
        <v>0</v>
      </c>
      <c r="K4442">
        <v>0</v>
      </c>
      <c r="L4442">
        <v>0</v>
      </c>
      <c r="M4442">
        <v>4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4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T4442" t="str">
        <f t="shared" si="585"/>
        <v>9791188630066</v>
      </c>
      <c r="AV4442" t="str">
        <f t="shared" si="582"/>
        <v>판타지 웹소설 &gt; 현대 판타지</v>
      </c>
    </row>
    <row r="4443" spans="1:48" x14ac:dyDescent="0.4">
      <c r="A4443">
        <v>2313003101</v>
      </c>
      <c r="B4443">
        <v>2313003120</v>
      </c>
      <c r="C4443" t="str">
        <f>T("로드 오브 머니 20화")</f>
        <v>로드 오브 머니 20화</v>
      </c>
      <c r="D4443" t="str">
        <f>T("20")</f>
        <v>20</v>
      </c>
      <c r="E4443" t="str">
        <f t="shared" si="583"/>
        <v>무장</v>
      </c>
      <c r="H4443" t="str">
        <f t="shared" si="576"/>
        <v>스토리위즈</v>
      </c>
      <c r="I4443" t="str">
        <f t="shared" si="584"/>
        <v>로드 오브 머니</v>
      </c>
      <c r="J4443">
        <v>0</v>
      </c>
      <c r="K4443">
        <v>0</v>
      </c>
      <c r="L4443">
        <v>0</v>
      </c>
      <c r="M4443">
        <v>4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4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T4443" t="str">
        <f t="shared" si="585"/>
        <v>9791188630066</v>
      </c>
      <c r="AV4443" t="str">
        <f t="shared" si="582"/>
        <v>판타지 웹소설 &gt; 현대 판타지</v>
      </c>
    </row>
    <row r="4444" spans="1:48" x14ac:dyDescent="0.4">
      <c r="A4444">
        <v>2313003101</v>
      </c>
      <c r="B4444">
        <v>2313003121</v>
      </c>
      <c r="C4444" t="str">
        <f>T("로드 오브 머니 21화")</f>
        <v>로드 오브 머니 21화</v>
      </c>
      <c r="D4444" t="str">
        <f>T("21")</f>
        <v>21</v>
      </c>
      <c r="E4444" t="str">
        <f t="shared" si="583"/>
        <v>무장</v>
      </c>
      <c r="H4444" t="str">
        <f t="shared" si="576"/>
        <v>스토리위즈</v>
      </c>
      <c r="I4444" t="str">
        <f t="shared" si="584"/>
        <v>로드 오브 머니</v>
      </c>
      <c r="J4444">
        <v>0</v>
      </c>
      <c r="K4444">
        <v>0</v>
      </c>
      <c r="L4444">
        <v>0</v>
      </c>
      <c r="M4444">
        <v>4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4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T4444" t="str">
        <f t="shared" si="585"/>
        <v>9791188630066</v>
      </c>
      <c r="AV4444" t="str">
        <f t="shared" si="582"/>
        <v>판타지 웹소설 &gt; 현대 판타지</v>
      </c>
    </row>
    <row r="4445" spans="1:48" x14ac:dyDescent="0.4">
      <c r="A4445">
        <v>2313003101</v>
      </c>
      <c r="B4445">
        <v>2313003122</v>
      </c>
      <c r="C4445" t="str">
        <f>T("로드 오브 머니 22화")</f>
        <v>로드 오브 머니 22화</v>
      </c>
      <c r="D4445" t="str">
        <f>T("22")</f>
        <v>22</v>
      </c>
      <c r="E4445" t="str">
        <f t="shared" si="583"/>
        <v>무장</v>
      </c>
      <c r="H4445" t="str">
        <f t="shared" si="576"/>
        <v>스토리위즈</v>
      </c>
      <c r="I4445" t="str">
        <f t="shared" si="584"/>
        <v>로드 오브 머니</v>
      </c>
      <c r="J4445">
        <v>0</v>
      </c>
      <c r="K4445">
        <v>0</v>
      </c>
      <c r="L4445">
        <v>0</v>
      </c>
      <c r="M4445">
        <v>4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4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T4445" t="str">
        <f t="shared" si="585"/>
        <v>9791188630066</v>
      </c>
      <c r="AV4445" t="str">
        <f t="shared" si="582"/>
        <v>판타지 웹소설 &gt; 현대 판타지</v>
      </c>
    </row>
    <row r="4446" spans="1:48" x14ac:dyDescent="0.4">
      <c r="A4446">
        <v>2313003101</v>
      </c>
      <c r="B4446">
        <v>2313003123</v>
      </c>
      <c r="C4446" t="str">
        <f>T("로드 오브 머니 23화")</f>
        <v>로드 오브 머니 23화</v>
      </c>
      <c r="D4446" t="str">
        <f>T("23")</f>
        <v>23</v>
      </c>
      <c r="E4446" t="str">
        <f t="shared" si="583"/>
        <v>무장</v>
      </c>
      <c r="H4446" t="str">
        <f t="shared" si="576"/>
        <v>스토리위즈</v>
      </c>
      <c r="I4446" t="str">
        <f t="shared" si="584"/>
        <v>로드 오브 머니</v>
      </c>
      <c r="J4446">
        <v>0</v>
      </c>
      <c r="K4446">
        <v>0</v>
      </c>
      <c r="L4446">
        <v>0</v>
      </c>
      <c r="M4446">
        <v>4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4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T4446" t="str">
        <f t="shared" si="585"/>
        <v>9791188630066</v>
      </c>
      <c r="AV4446" t="str">
        <f t="shared" si="582"/>
        <v>판타지 웹소설 &gt; 현대 판타지</v>
      </c>
    </row>
    <row r="4447" spans="1:48" x14ac:dyDescent="0.4">
      <c r="A4447">
        <v>2313004289</v>
      </c>
      <c r="B4447">
        <v>2313004289</v>
      </c>
      <c r="C4447" t="str">
        <f>T("SSS급 마왕의 귀환 1화")</f>
        <v>SSS급 마왕의 귀환 1화</v>
      </c>
      <c r="D4447" t="str">
        <f>T("1")</f>
        <v>1</v>
      </c>
      <c r="E4447" t="str">
        <f t="shared" ref="E4447:E4471" si="586">T("구유")</f>
        <v>구유</v>
      </c>
      <c r="H4447" t="str">
        <f t="shared" ref="H4447:H4510" si="587">T("스토리위즈")</f>
        <v>스토리위즈</v>
      </c>
      <c r="I4447" t="str">
        <f t="shared" ref="I4447:I4471" si="588">T("SSS급 마왕의 귀환")</f>
        <v>SSS급 마왕의 귀환</v>
      </c>
      <c r="J4447">
        <v>0</v>
      </c>
      <c r="K4447">
        <v>0</v>
      </c>
      <c r="L4447">
        <v>0</v>
      </c>
      <c r="M4447">
        <v>3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3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R4447" t="str">
        <f>T("0000000000000")</f>
        <v>0000000000000</v>
      </c>
      <c r="AT4447" t="str">
        <f t="shared" ref="AT4447:AT4471" si="589">T("9791159289057")</f>
        <v>9791159289057</v>
      </c>
      <c r="AV4447" t="str">
        <f t="shared" ref="AV4447:AV4510" si="590">T("판타지 웹소설 &gt; 퓨전 판타지")</f>
        <v>판타지 웹소설 &gt; 퓨전 판타지</v>
      </c>
    </row>
    <row r="4448" spans="1:48" x14ac:dyDescent="0.4">
      <c r="A4448">
        <v>2313004289</v>
      </c>
      <c r="B4448">
        <v>2313004290</v>
      </c>
      <c r="C4448" t="str">
        <f>T("SSS급 마왕의 귀환 2화")</f>
        <v>SSS급 마왕의 귀환 2화</v>
      </c>
      <c r="D4448" t="str">
        <f>T("2")</f>
        <v>2</v>
      </c>
      <c r="E4448" t="str">
        <f t="shared" si="586"/>
        <v>구유</v>
      </c>
      <c r="H4448" t="str">
        <f t="shared" si="587"/>
        <v>스토리위즈</v>
      </c>
      <c r="I4448" t="str">
        <f t="shared" si="588"/>
        <v>SSS급 마왕의 귀환</v>
      </c>
      <c r="J4448">
        <v>0</v>
      </c>
      <c r="K4448">
        <v>0</v>
      </c>
      <c r="L4448">
        <v>0</v>
      </c>
      <c r="M4448">
        <v>3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3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T4448" t="str">
        <f t="shared" si="589"/>
        <v>9791159289057</v>
      </c>
      <c r="AV4448" t="str">
        <f t="shared" si="590"/>
        <v>판타지 웹소설 &gt; 퓨전 판타지</v>
      </c>
    </row>
    <row r="4449" spans="1:48" x14ac:dyDescent="0.4">
      <c r="A4449">
        <v>2313004289</v>
      </c>
      <c r="B4449">
        <v>2313004291</v>
      </c>
      <c r="C4449" t="str">
        <f>T("SSS급 마왕의 귀환 3화")</f>
        <v>SSS급 마왕의 귀환 3화</v>
      </c>
      <c r="D4449" t="str">
        <f>T("3")</f>
        <v>3</v>
      </c>
      <c r="E4449" t="str">
        <f t="shared" si="586"/>
        <v>구유</v>
      </c>
      <c r="H4449" t="str">
        <f t="shared" si="587"/>
        <v>스토리위즈</v>
      </c>
      <c r="I4449" t="str">
        <f t="shared" si="588"/>
        <v>SSS급 마왕의 귀환</v>
      </c>
      <c r="J4449">
        <v>0</v>
      </c>
      <c r="K4449">
        <v>0</v>
      </c>
      <c r="L4449">
        <v>0</v>
      </c>
      <c r="M4449">
        <v>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2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T4449" t="str">
        <f t="shared" si="589"/>
        <v>9791159289057</v>
      </c>
      <c r="AV4449" t="str">
        <f t="shared" si="590"/>
        <v>판타지 웹소설 &gt; 퓨전 판타지</v>
      </c>
    </row>
    <row r="4450" spans="1:48" x14ac:dyDescent="0.4">
      <c r="A4450">
        <v>2313004289</v>
      </c>
      <c r="B4450">
        <v>2313004292</v>
      </c>
      <c r="C4450" t="str">
        <f>T("SSS급 마왕의 귀환 4화")</f>
        <v>SSS급 마왕의 귀환 4화</v>
      </c>
      <c r="D4450" t="str">
        <f>T("4")</f>
        <v>4</v>
      </c>
      <c r="E4450" t="str">
        <f t="shared" si="586"/>
        <v>구유</v>
      </c>
      <c r="H4450" t="str">
        <f t="shared" si="587"/>
        <v>스토리위즈</v>
      </c>
      <c r="I4450" t="str">
        <f t="shared" si="588"/>
        <v>SSS급 마왕의 귀환</v>
      </c>
      <c r="J4450">
        <v>0</v>
      </c>
      <c r="K4450">
        <v>0</v>
      </c>
      <c r="L4450">
        <v>0</v>
      </c>
      <c r="M4450">
        <v>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2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T4450" t="str">
        <f t="shared" si="589"/>
        <v>9791159289057</v>
      </c>
      <c r="AV4450" t="str">
        <f t="shared" si="590"/>
        <v>판타지 웹소설 &gt; 퓨전 판타지</v>
      </c>
    </row>
    <row r="4451" spans="1:48" x14ac:dyDescent="0.4">
      <c r="A4451">
        <v>2313004289</v>
      </c>
      <c r="B4451">
        <v>2313004293</v>
      </c>
      <c r="C4451" t="str">
        <f>T("SSS급 마왕의 귀환 5화")</f>
        <v>SSS급 마왕의 귀환 5화</v>
      </c>
      <c r="D4451" t="str">
        <f>T("5")</f>
        <v>5</v>
      </c>
      <c r="E4451" t="str">
        <f t="shared" si="586"/>
        <v>구유</v>
      </c>
      <c r="H4451" t="str">
        <f t="shared" si="587"/>
        <v>스토리위즈</v>
      </c>
      <c r="I4451" t="str">
        <f t="shared" si="588"/>
        <v>SSS급 마왕의 귀환</v>
      </c>
      <c r="J4451">
        <v>0</v>
      </c>
      <c r="K4451">
        <v>0</v>
      </c>
      <c r="L4451">
        <v>0</v>
      </c>
      <c r="M4451">
        <v>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2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T4451" t="str">
        <f t="shared" si="589"/>
        <v>9791159289057</v>
      </c>
      <c r="AV4451" t="str">
        <f t="shared" si="590"/>
        <v>판타지 웹소설 &gt; 퓨전 판타지</v>
      </c>
    </row>
    <row r="4452" spans="1:48" x14ac:dyDescent="0.4">
      <c r="A4452">
        <v>2313004289</v>
      </c>
      <c r="B4452">
        <v>2313004294</v>
      </c>
      <c r="C4452" t="str">
        <f>T("SSS급 마왕의 귀환 6화")</f>
        <v>SSS급 마왕의 귀환 6화</v>
      </c>
      <c r="D4452" t="str">
        <f>T("6")</f>
        <v>6</v>
      </c>
      <c r="E4452" t="str">
        <f t="shared" si="586"/>
        <v>구유</v>
      </c>
      <c r="H4452" t="str">
        <f t="shared" si="587"/>
        <v>스토리위즈</v>
      </c>
      <c r="I4452" t="str">
        <f t="shared" si="588"/>
        <v>SSS급 마왕의 귀환</v>
      </c>
      <c r="J4452">
        <v>0</v>
      </c>
      <c r="K4452">
        <v>0</v>
      </c>
      <c r="L4452">
        <v>0</v>
      </c>
      <c r="M4452">
        <v>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2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T4452" t="str">
        <f t="shared" si="589"/>
        <v>9791159289057</v>
      </c>
      <c r="AV4452" t="str">
        <f t="shared" si="590"/>
        <v>판타지 웹소설 &gt; 퓨전 판타지</v>
      </c>
    </row>
    <row r="4453" spans="1:48" x14ac:dyDescent="0.4">
      <c r="A4453">
        <v>2313004289</v>
      </c>
      <c r="B4453">
        <v>2313004295</v>
      </c>
      <c r="C4453" t="str">
        <f>T("SSS급 마왕의 귀환 7화")</f>
        <v>SSS급 마왕의 귀환 7화</v>
      </c>
      <c r="D4453" t="str">
        <f>T("7")</f>
        <v>7</v>
      </c>
      <c r="E4453" t="str">
        <f t="shared" si="586"/>
        <v>구유</v>
      </c>
      <c r="H4453" t="str">
        <f t="shared" si="587"/>
        <v>스토리위즈</v>
      </c>
      <c r="I4453" t="str">
        <f t="shared" si="588"/>
        <v>SSS급 마왕의 귀환</v>
      </c>
      <c r="J4453">
        <v>0</v>
      </c>
      <c r="K4453">
        <v>0</v>
      </c>
      <c r="L4453">
        <v>0</v>
      </c>
      <c r="M4453">
        <v>2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2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T4453" t="str">
        <f t="shared" si="589"/>
        <v>9791159289057</v>
      </c>
      <c r="AV4453" t="str">
        <f t="shared" si="590"/>
        <v>판타지 웹소설 &gt; 퓨전 판타지</v>
      </c>
    </row>
    <row r="4454" spans="1:48" x14ac:dyDescent="0.4">
      <c r="A4454">
        <v>2313004289</v>
      </c>
      <c r="B4454">
        <v>2313004296</v>
      </c>
      <c r="C4454" t="str">
        <f>T("SSS급 마왕의 귀환 8화")</f>
        <v>SSS급 마왕의 귀환 8화</v>
      </c>
      <c r="D4454" t="str">
        <f>T("8")</f>
        <v>8</v>
      </c>
      <c r="E4454" t="str">
        <f t="shared" si="586"/>
        <v>구유</v>
      </c>
      <c r="H4454" t="str">
        <f t="shared" si="587"/>
        <v>스토리위즈</v>
      </c>
      <c r="I4454" t="str">
        <f t="shared" si="588"/>
        <v>SSS급 마왕의 귀환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T4454" t="str">
        <f t="shared" si="589"/>
        <v>9791159289057</v>
      </c>
      <c r="AV4454" t="str">
        <f t="shared" si="590"/>
        <v>판타지 웹소설 &gt; 퓨전 판타지</v>
      </c>
    </row>
    <row r="4455" spans="1:48" x14ac:dyDescent="0.4">
      <c r="A4455">
        <v>2313004289</v>
      </c>
      <c r="B4455">
        <v>2313004297</v>
      </c>
      <c r="C4455" t="str">
        <f>T("SSS급 마왕의 귀환 9화")</f>
        <v>SSS급 마왕의 귀환 9화</v>
      </c>
      <c r="D4455" t="str">
        <f>T("9")</f>
        <v>9</v>
      </c>
      <c r="E4455" t="str">
        <f t="shared" si="586"/>
        <v>구유</v>
      </c>
      <c r="H4455" t="str">
        <f t="shared" si="587"/>
        <v>스토리위즈</v>
      </c>
      <c r="I4455" t="str">
        <f t="shared" si="588"/>
        <v>SSS급 마왕의 귀환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T4455" t="str">
        <f t="shared" si="589"/>
        <v>9791159289057</v>
      </c>
      <c r="AV4455" t="str">
        <f t="shared" si="590"/>
        <v>판타지 웹소설 &gt; 퓨전 판타지</v>
      </c>
    </row>
    <row r="4456" spans="1:48" x14ac:dyDescent="0.4">
      <c r="A4456">
        <v>2313004289</v>
      </c>
      <c r="B4456">
        <v>2313004298</v>
      </c>
      <c r="C4456" t="str">
        <f>T("SSS급 마왕의 귀환 10화")</f>
        <v>SSS급 마왕의 귀환 10화</v>
      </c>
      <c r="D4456" t="str">
        <f>T("10")</f>
        <v>10</v>
      </c>
      <c r="E4456" t="str">
        <f t="shared" si="586"/>
        <v>구유</v>
      </c>
      <c r="H4456" t="str">
        <f t="shared" si="587"/>
        <v>스토리위즈</v>
      </c>
      <c r="I4456" t="str">
        <f t="shared" si="588"/>
        <v>SSS급 마왕의 귀환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1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T4456" t="str">
        <f t="shared" si="589"/>
        <v>9791159289057</v>
      </c>
      <c r="AV4456" t="str">
        <f t="shared" si="590"/>
        <v>판타지 웹소설 &gt; 퓨전 판타지</v>
      </c>
    </row>
    <row r="4457" spans="1:48" x14ac:dyDescent="0.4">
      <c r="A4457">
        <v>2313004289</v>
      </c>
      <c r="B4457">
        <v>2313004299</v>
      </c>
      <c r="C4457" t="str">
        <f>T("SSS급 마왕의 귀환 11화")</f>
        <v>SSS급 마왕의 귀환 11화</v>
      </c>
      <c r="D4457" t="str">
        <f>T("11")</f>
        <v>11</v>
      </c>
      <c r="E4457" t="str">
        <f t="shared" si="586"/>
        <v>구유</v>
      </c>
      <c r="H4457" t="str">
        <f t="shared" si="587"/>
        <v>스토리위즈</v>
      </c>
      <c r="I4457" t="str">
        <f t="shared" si="588"/>
        <v>SSS급 마왕의 귀환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T4457" t="str">
        <f t="shared" si="589"/>
        <v>9791159289057</v>
      </c>
      <c r="AV4457" t="str">
        <f t="shared" si="590"/>
        <v>판타지 웹소설 &gt; 퓨전 판타지</v>
      </c>
    </row>
    <row r="4458" spans="1:48" x14ac:dyDescent="0.4">
      <c r="A4458">
        <v>2313004289</v>
      </c>
      <c r="B4458">
        <v>2313004300</v>
      </c>
      <c r="C4458" t="str">
        <f>T("SSS급 마왕의 귀환 12화")</f>
        <v>SSS급 마왕의 귀환 12화</v>
      </c>
      <c r="D4458" t="str">
        <f>T("12")</f>
        <v>12</v>
      </c>
      <c r="E4458" t="str">
        <f t="shared" si="586"/>
        <v>구유</v>
      </c>
      <c r="H4458" t="str">
        <f t="shared" si="587"/>
        <v>스토리위즈</v>
      </c>
      <c r="I4458" t="str">
        <f t="shared" si="588"/>
        <v>SSS급 마왕의 귀환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T4458" t="str">
        <f t="shared" si="589"/>
        <v>9791159289057</v>
      </c>
      <c r="AV4458" t="str">
        <f t="shared" si="590"/>
        <v>판타지 웹소설 &gt; 퓨전 판타지</v>
      </c>
    </row>
    <row r="4459" spans="1:48" x14ac:dyDescent="0.4">
      <c r="A4459">
        <v>2313004289</v>
      </c>
      <c r="B4459">
        <v>2313004301</v>
      </c>
      <c r="C4459" t="str">
        <f>T("SSS급 마왕의 귀환 13화")</f>
        <v>SSS급 마왕의 귀환 13화</v>
      </c>
      <c r="D4459" t="str">
        <f>T("13")</f>
        <v>13</v>
      </c>
      <c r="E4459" t="str">
        <f t="shared" si="586"/>
        <v>구유</v>
      </c>
      <c r="H4459" t="str">
        <f t="shared" si="587"/>
        <v>스토리위즈</v>
      </c>
      <c r="I4459" t="str">
        <f t="shared" si="588"/>
        <v>SSS급 마왕의 귀환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1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T4459" t="str">
        <f t="shared" si="589"/>
        <v>9791159289057</v>
      </c>
      <c r="AV4459" t="str">
        <f t="shared" si="590"/>
        <v>판타지 웹소설 &gt; 퓨전 판타지</v>
      </c>
    </row>
    <row r="4460" spans="1:48" x14ac:dyDescent="0.4">
      <c r="A4460">
        <v>2313004289</v>
      </c>
      <c r="B4460">
        <v>2313004302</v>
      </c>
      <c r="C4460" t="str">
        <f>T("SSS급 마왕의 귀환 14화")</f>
        <v>SSS급 마왕의 귀환 14화</v>
      </c>
      <c r="D4460" t="str">
        <f>T("14")</f>
        <v>14</v>
      </c>
      <c r="E4460" t="str">
        <f t="shared" si="586"/>
        <v>구유</v>
      </c>
      <c r="H4460" t="str">
        <f t="shared" si="587"/>
        <v>스토리위즈</v>
      </c>
      <c r="I4460" t="str">
        <f t="shared" si="588"/>
        <v>SSS급 마왕의 귀환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T4460" t="str">
        <f t="shared" si="589"/>
        <v>9791159289057</v>
      </c>
      <c r="AV4460" t="str">
        <f t="shared" si="590"/>
        <v>판타지 웹소설 &gt; 퓨전 판타지</v>
      </c>
    </row>
    <row r="4461" spans="1:48" x14ac:dyDescent="0.4">
      <c r="A4461">
        <v>2313004289</v>
      </c>
      <c r="B4461">
        <v>2313004303</v>
      </c>
      <c r="C4461" t="str">
        <f>T("SSS급 마왕의 귀환 15화")</f>
        <v>SSS급 마왕의 귀환 15화</v>
      </c>
      <c r="D4461" t="str">
        <f>T("15")</f>
        <v>15</v>
      </c>
      <c r="E4461" t="str">
        <f t="shared" si="586"/>
        <v>구유</v>
      </c>
      <c r="H4461" t="str">
        <f t="shared" si="587"/>
        <v>스토리위즈</v>
      </c>
      <c r="I4461" t="str">
        <f t="shared" si="588"/>
        <v>SSS급 마왕의 귀환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T4461" t="str">
        <f t="shared" si="589"/>
        <v>9791159289057</v>
      </c>
      <c r="AV4461" t="str">
        <f t="shared" si="590"/>
        <v>판타지 웹소설 &gt; 퓨전 판타지</v>
      </c>
    </row>
    <row r="4462" spans="1:48" x14ac:dyDescent="0.4">
      <c r="A4462">
        <v>2313004289</v>
      </c>
      <c r="B4462">
        <v>2313004304</v>
      </c>
      <c r="C4462" t="str">
        <f>T("SSS급 마왕의 귀환 16화")</f>
        <v>SSS급 마왕의 귀환 16화</v>
      </c>
      <c r="D4462" t="str">
        <f>T("16")</f>
        <v>16</v>
      </c>
      <c r="E4462" t="str">
        <f t="shared" si="586"/>
        <v>구유</v>
      </c>
      <c r="H4462" t="str">
        <f t="shared" si="587"/>
        <v>스토리위즈</v>
      </c>
      <c r="I4462" t="str">
        <f t="shared" si="588"/>
        <v>SSS급 마왕의 귀환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T4462" t="str">
        <f t="shared" si="589"/>
        <v>9791159289057</v>
      </c>
      <c r="AV4462" t="str">
        <f t="shared" si="590"/>
        <v>판타지 웹소설 &gt; 퓨전 판타지</v>
      </c>
    </row>
    <row r="4463" spans="1:48" x14ac:dyDescent="0.4">
      <c r="A4463">
        <v>2313004289</v>
      </c>
      <c r="B4463">
        <v>2313004305</v>
      </c>
      <c r="C4463" t="str">
        <f>T("SSS급 마왕의 귀환 17화")</f>
        <v>SSS급 마왕의 귀환 17화</v>
      </c>
      <c r="D4463" t="str">
        <f>T("17")</f>
        <v>17</v>
      </c>
      <c r="E4463" t="str">
        <f t="shared" si="586"/>
        <v>구유</v>
      </c>
      <c r="H4463" t="str">
        <f t="shared" si="587"/>
        <v>스토리위즈</v>
      </c>
      <c r="I4463" t="str">
        <f t="shared" si="588"/>
        <v>SSS급 마왕의 귀환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T4463" t="str">
        <f t="shared" si="589"/>
        <v>9791159289057</v>
      </c>
      <c r="AV4463" t="str">
        <f t="shared" si="590"/>
        <v>판타지 웹소설 &gt; 퓨전 판타지</v>
      </c>
    </row>
    <row r="4464" spans="1:48" x14ac:dyDescent="0.4">
      <c r="A4464">
        <v>2313004289</v>
      </c>
      <c r="B4464">
        <v>2313004306</v>
      </c>
      <c r="C4464" t="str">
        <f>T("SSS급 마왕의 귀환 18화")</f>
        <v>SSS급 마왕의 귀환 18화</v>
      </c>
      <c r="D4464" t="str">
        <f>T("18")</f>
        <v>18</v>
      </c>
      <c r="E4464" t="str">
        <f t="shared" si="586"/>
        <v>구유</v>
      </c>
      <c r="H4464" t="str">
        <f t="shared" si="587"/>
        <v>스토리위즈</v>
      </c>
      <c r="I4464" t="str">
        <f t="shared" si="588"/>
        <v>SSS급 마왕의 귀환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T4464" t="str">
        <f t="shared" si="589"/>
        <v>9791159289057</v>
      </c>
      <c r="AV4464" t="str">
        <f t="shared" si="590"/>
        <v>판타지 웹소설 &gt; 퓨전 판타지</v>
      </c>
    </row>
    <row r="4465" spans="1:48" x14ac:dyDescent="0.4">
      <c r="A4465">
        <v>2313004289</v>
      </c>
      <c r="B4465">
        <v>2313004307</v>
      </c>
      <c r="C4465" t="str">
        <f>T("SSS급 마왕의 귀환 19화")</f>
        <v>SSS급 마왕의 귀환 19화</v>
      </c>
      <c r="D4465" t="str">
        <f>T("19")</f>
        <v>19</v>
      </c>
      <c r="E4465" t="str">
        <f t="shared" si="586"/>
        <v>구유</v>
      </c>
      <c r="H4465" t="str">
        <f t="shared" si="587"/>
        <v>스토리위즈</v>
      </c>
      <c r="I4465" t="str">
        <f t="shared" si="588"/>
        <v>SSS급 마왕의 귀환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T4465" t="str">
        <f t="shared" si="589"/>
        <v>9791159289057</v>
      </c>
      <c r="AV4465" t="str">
        <f t="shared" si="590"/>
        <v>판타지 웹소설 &gt; 퓨전 판타지</v>
      </c>
    </row>
    <row r="4466" spans="1:48" x14ac:dyDescent="0.4">
      <c r="A4466">
        <v>2313004289</v>
      </c>
      <c r="B4466">
        <v>2313004308</v>
      </c>
      <c r="C4466" t="str">
        <f>T("SSS급 마왕의 귀환 20화")</f>
        <v>SSS급 마왕의 귀환 20화</v>
      </c>
      <c r="D4466" t="str">
        <f>T("20")</f>
        <v>20</v>
      </c>
      <c r="E4466" t="str">
        <f t="shared" si="586"/>
        <v>구유</v>
      </c>
      <c r="H4466" t="str">
        <f t="shared" si="587"/>
        <v>스토리위즈</v>
      </c>
      <c r="I4466" t="str">
        <f t="shared" si="588"/>
        <v>SSS급 마왕의 귀환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T4466" t="str">
        <f t="shared" si="589"/>
        <v>9791159289057</v>
      </c>
      <c r="AV4466" t="str">
        <f t="shared" si="590"/>
        <v>판타지 웹소설 &gt; 퓨전 판타지</v>
      </c>
    </row>
    <row r="4467" spans="1:48" x14ac:dyDescent="0.4">
      <c r="A4467">
        <v>2313004289</v>
      </c>
      <c r="B4467">
        <v>2313004309</v>
      </c>
      <c r="C4467" t="str">
        <f>T("SSS급 마왕의 귀환 21화")</f>
        <v>SSS급 마왕의 귀환 21화</v>
      </c>
      <c r="D4467" t="str">
        <f>T("21")</f>
        <v>21</v>
      </c>
      <c r="E4467" t="str">
        <f t="shared" si="586"/>
        <v>구유</v>
      </c>
      <c r="H4467" t="str">
        <f t="shared" si="587"/>
        <v>스토리위즈</v>
      </c>
      <c r="I4467" t="str">
        <f t="shared" si="588"/>
        <v>SSS급 마왕의 귀환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T4467" t="str">
        <f t="shared" si="589"/>
        <v>9791159289057</v>
      </c>
      <c r="AV4467" t="str">
        <f t="shared" si="590"/>
        <v>판타지 웹소설 &gt; 퓨전 판타지</v>
      </c>
    </row>
    <row r="4468" spans="1:48" x14ac:dyDescent="0.4">
      <c r="A4468">
        <v>2313004289</v>
      </c>
      <c r="B4468">
        <v>2313004310</v>
      </c>
      <c r="C4468" t="str">
        <f>T("SSS급 마왕의 귀환 22화")</f>
        <v>SSS급 마왕의 귀환 22화</v>
      </c>
      <c r="D4468" t="str">
        <f>T("22")</f>
        <v>22</v>
      </c>
      <c r="E4468" t="str">
        <f t="shared" si="586"/>
        <v>구유</v>
      </c>
      <c r="H4468" t="str">
        <f t="shared" si="587"/>
        <v>스토리위즈</v>
      </c>
      <c r="I4468" t="str">
        <f t="shared" si="588"/>
        <v>SSS급 마왕의 귀환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T4468" t="str">
        <f t="shared" si="589"/>
        <v>9791159289057</v>
      </c>
      <c r="AV4468" t="str">
        <f t="shared" si="590"/>
        <v>판타지 웹소설 &gt; 퓨전 판타지</v>
      </c>
    </row>
    <row r="4469" spans="1:48" x14ac:dyDescent="0.4">
      <c r="A4469">
        <v>2313004289</v>
      </c>
      <c r="B4469">
        <v>2313004311</v>
      </c>
      <c r="C4469" t="str">
        <f>T("SSS급 마왕의 귀환 23화")</f>
        <v>SSS급 마왕의 귀환 23화</v>
      </c>
      <c r="D4469" t="str">
        <f>T("23")</f>
        <v>23</v>
      </c>
      <c r="E4469" t="str">
        <f t="shared" si="586"/>
        <v>구유</v>
      </c>
      <c r="H4469" t="str">
        <f t="shared" si="587"/>
        <v>스토리위즈</v>
      </c>
      <c r="I4469" t="str">
        <f t="shared" si="588"/>
        <v>SSS급 마왕의 귀환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T4469" t="str">
        <f t="shared" si="589"/>
        <v>9791159289057</v>
      </c>
      <c r="AV4469" t="str">
        <f t="shared" si="590"/>
        <v>판타지 웹소설 &gt; 퓨전 판타지</v>
      </c>
    </row>
    <row r="4470" spans="1:48" x14ac:dyDescent="0.4">
      <c r="A4470">
        <v>2313004289</v>
      </c>
      <c r="B4470">
        <v>2313004312</v>
      </c>
      <c r="C4470" t="str">
        <f>T("SSS급 마왕의 귀환 24화")</f>
        <v>SSS급 마왕의 귀환 24화</v>
      </c>
      <c r="D4470" t="str">
        <f>T("24")</f>
        <v>24</v>
      </c>
      <c r="E4470" t="str">
        <f t="shared" si="586"/>
        <v>구유</v>
      </c>
      <c r="H4470" t="str">
        <f t="shared" si="587"/>
        <v>스토리위즈</v>
      </c>
      <c r="I4470" t="str">
        <f t="shared" si="588"/>
        <v>SSS급 마왕의 귀환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1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T4470" t="str">
        <f t="shared" si="589"/>
        <v>9791159289057</v>
      </c>
      <c r="AV4470" t="str">
        <f t="shared" si="590"/>
        <v>판타지 웹소설 &gt; 퓨전 판타지</v>
      </c>
    </row>
    <row r="4471" spans="1:48" x14ac:dyDescent="0.4">
      <c r="A4471">
        <v>2313004289</v>
      </c>
      <c r="B4471">
        <v>2313004313</v>
      </c>
      <c r="C4471" t="str">
        <f>T("SSS급 마왕의 귀환 25화")</f>
        <v>SSS급 마왕의 귀환 25화</v>
      </c>
      <c r="D4471" t="str">
        <f>T("25")</f>
        <v>25</v>
      </c>
      <c r="E4471" t="str">
        <f t="shared" si="586"/>
        <v>구유</v>
      </c>
      <c r="H4471" t="str">
        <f t="shared" si="587"/>
        <v>스토리위즈</v>
      </c>
      <c r="I4471" t="str">
        <f t="shared" si="588"/>
        <v>SSS급 마왕의 귀환</v>
      </c>
      <c r="J4471">
        <v>0</v>
      </c>
      <c r="K4471">
        <v>0</v>
      </c>
      <c r="L4471">
        <v>0</v>
      </c>
      <c r="M4471">
        <v>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2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T4471" t="str">
        <f t="shared" si="589"/>
        <v>9791159289057</v>
      </c>
      <c r="AV4471" t="str">
        <f t="shared" si="590"/>
        <v>판타지 웹소설 &gt; 퓨전 판타지</v>
      </c>
    </row>
    <row r="4472" spans="1:48" x14ac:dyDescent="0.4">
      <c r="A4472">
        <v>2313004790</v>
      </c>
      <c r="B4472">
        <v>2313004790</v>
      </c>
      <c r="C4472" t="str">
        <f>T("드래곤은 나 혼자 잡는다 1화")</f>
        <v>드래곤은 나 혼자 잡는다 1화</v>
      </c>
      <c r="D4472" t="str">
        <f>T("1")</f>
        <v>1</v>
      </c>
      <c r="E4472" t="str">
        <f t="shared" ref="E4472:E4489" si="591">T("진문")</f>
        <v>진문</v>
      </c>
      <c r="H4472" t="str">
        <f t="shared" si="587"/>
        <v>스토리위즈</v>
      </c>
      <c r="I4472" t="str">
        <f t="shared" ref="I4472:I4489" si="592">T("드래곤은 나 혼자 잡는다")</f>
        <v>드래곤은 나 혼자 잡는다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T4472" t="str">
        <f t="shared" ref="AT4472:AT4489" si="593">T("9791159288159")</f>
        <v>9791159288159</v>
      </c>
      <c r="AV4472" t="str">
        <f t="shared" si="590"/>
        <v>판타지 웹소설 &gt; 퓨전 판타지</v>
      </c>
    </row>
    <row r="4473" spans="1:48" x14ac:dyDescent="0.4">
      <c r="A4473">
        <v>2313004790</v>
      </c>
      <c r="B4473">
        <v>2313004791</v>
      </c>
      <c r="C4473" t="str">
        <f>T("드래곤은 나 혼자 잡는다 2화")</f>
        <v>드래곤은 나 혼자 잡는다 2화</v>
      </c>
      <c r="D4473" t="str">
        <f>T("2")</f>
        <v>2</v>
      </c>
      <c r="E4473" t="str">
        <f t="shared" si="591"/>
        <v>진문</v>
      </c>
      <c r="H4473" t="str">
        <f t="shared" si="587"/>
        <v>스토리위즈</v>
      </c>
      <c r="I4473" t="str">
        <f t="shared" si="592"/>
        <v>드래곤은 나 혼자 잡는다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T4473" t="str">
        <f t="shared" si="593"/>
        <v>9791159288159</v>
      </c>
      <c r="AV4473" t="str">
        <f t="shared" si="590"/>
        <v>판타지 웹소설 &gt; 퓨전 판타지</v>
      </c>
    </row>
    <row r="4474" spans="1:48" x14ac:dyDescent="0.4">
      <c r="A4474">
        <v>2313004790</v>
      </c>
      <c r="B4474">
        <v>2313004792</v>
      </c>
      <c r="C4474" t="str">
        <f>T("드래곤은 나 혼자 잡는다 3화")</f>
        <v>드래곤은 나 혼자 잡는다 3화</v>
      </c>
      <c r="D4474" t="str">
        <f>T("3")</f>
        <v>3</v>
      </c>
      <c r="E4474" t="str">
        <f t="shared" si="591"/>
        <v>진문</v>
      </c>
      <c r="H4474" t="str">
        <f t="shared" si="587"/>
        <v>스토리위즈</v>
      </c>
      <c r="I4474" t="str">
        <f t="shared" si="592"/>
        <v>드래곤은 나 혼자 잡는다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1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T4474" t="str">
        <f t="shared" si="593"/>
        <v>9791159288159</v>
      </c>
      <c r="AV4474" t="str">
        <f t="shared" si="590"/>
        <v>판타지 웹소설 &gt; 퓨전 판타지</v>
      </c>
    </row>
    <row r="4475" spans="1:48" x14ac:dyDescent="0.4">
      <c r="A4475">
        <v>2313004790</v>
      </c>
      <c r="B4475">
        <v>2313004793</v>
      </c>
      <c r="C4475" t="str">
        <f>T("드래곤은 나 혼자 잡는다 4화")</f>
        <v>드래곤은 나 혼자 잡는다 4화</v>
      </c>
      <c r="D4475" t="str">
        <f>T("4")</f>
        <v>4</v>
      </c>
      <c r="E4475" t="str">
        <f t="shared" si="591"/>
        <v>진문</v>
      </c>
      <c r="H4475" t="str">
        <f t="shared" si="587"/>
        <v>스토리위즈</v>
      </c>
      <c r="I4475" t="str">
        <f t="shared" si="592"/>
        <v>드래곤은 나 혼자 잡는다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T4475" t="str">
        <f t="shared" si="593"/>
        <v>9791159288159</v>
      </c>
      <c r="AV4475" t="str">
        <f t="shared" si="590"/>
        <v>판타지 웹소설 &gt; 퓨전 판타지</v>
      </c>
    </row>
    <row r="4476" spans="1:48" x14ac:dyDescent="0.4">
      <c r="A4476">
        <v>2313004790</v>
      </c>
      <c r="B4476">
        <v>2313004794</v>
      </c>
      <c r="C4476" t="str">
        <f>T("드래곤은 나 혼자 잡는다 5화")</f>
        <v>드래곤은 나 혼자 잡는다 5화</v>
      </c>
      <c r="D4476" t="str">
        <f>T("5")</f>
        <v>5</v>
      </c>
      <c r="E4476" t="str">
        <f t="shared" si="591"/>
        <v>진문</v>
      </c>
      <c r="H4476" t="str">
        <f t="shared" si="587"/>
        <v>스토리위즈</v>
      </c>
      <c r="I4476" t="str">
        <f t="shared" si="592"/>
        <v>드래곤은 나 혼자 잡는다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T4476" t="str">
        <f t="shared" si="593"/>
        <v>9791159288159</v>
      </c>
      <c r="AV4476" t="str">
        <f t="shared" si="590"/>
        <v>판타지 웹소설 &gt; 퓨전 판타지</v>
      </c>
    </row>
    <row r="4477" spans="1:48" x14ac:dyDescent="0.4">
      <c r="A4477">
        <v>2313004790</v>
      </c>
      <c r="B4477">
        <v>2313004795</v>
      </c>
      <c r="C4477" t="str">
        <f>T("드래곤은 나 혼자 잡는다 6화")</f>
        <v>드래곤은 나 혼자 잡는다 6화</v>
      </c>
      <c r="D4477" t="str">
        <f>T("6")</f>
        <v>6</v>
      </c>
      <c r="E4477" t="str">
        <f t="shared" si="591"/>
        <v>진문</v>
      </c>
      <c r="H4477" t="str">
        <f t="shared" si="587"/>
        <v>스토리위즈</v>
      </c>
      <c r="I4477" t="str">
        <f t="shared" si="592"/>
        <v>드래곤은 나 혼자 잡는다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1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T4477" t="str">
        <f t="shared" si="593"/>
        <v>9791159288159</v>
      </c>
      <c r="AV4477" t="str">
        <f t="shared" si="590"/>
        <v>판타지 웹소설 &gt; 퓨전 판타지</v>
      </c>
    </row>
    <row r="4478" spans="1:48" x14ac:dyDescent="0.4">
      <c r="A4478">
        <v>2313004790</v>
      </c>
      <c r="B4478">
        <v>2313004796</v>
      </c>
      <c r="C4478" t="str">
        <f>T("드래곤은 나 혼자 잡는다 7화")</f>
        <v>드래곤은 나 혼자 잡는다 7화</v>
      </c>
      <c r="D4478" t="str">
        <f>T("7")</f>
        <v>7</v>
      </c>
      <c r="E4478" t="str">
        <f t="shared" si="591"/>
        <v>진문</v>
      </c>
      <c r="H4478" t="str">
        <f t="shared" si="587"/>
        <v>스토리위즈</v>
      </c>
      <c r="I4478" t="str">
        <f t="shared" si="592"/>
        <v>드래곤은 나 혼자 잡는다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1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T4478" t="str">
        <f t="shared" si="593"/>
        <v>9791159288159</v>
      </c>
      <c r="AV4478" t="str">
        <f t="shared" si="590"/>
        <v>판타지 웹소설 &gt; 퓨전 판타지</v>
      </c>
    </row>
    <row r="4479" spans="1:48" x14ac:dyDescent="0.4">
      <c r="A4479">
        <v>2313004790</v>
      </c>
      <c r="B4479">
        <v>2313004797</v>
      </c>
      <c r="C4479" t="str">
        <f>T("드래곤은 나 혼자 잡는다 8화")</f>
        <v>드래곤은 나 혼자 잡는다 8화</v>
      </c>
      <c r="D4479" t="str">
        <f>T("8")</f>
        <v>8</v>
      </c>
      <c r="E4479" t="str">
        <f t="shared" si="591"/>
        <v>진문</v>
      </c>
      <c r="H4479" t="str">
        <f t="shared" si="587"/>
        <v>스토리위즈</v>
      </c>
      <c r="I4479" t="str">
        <f t="shared" si="592"/>
        <v>드래곤은 나 혼자 잡는다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T4479" t="str">
        <f t="shared" si="593"/>
        <v>9791159288159</v>
      </c>
      <c r="AV4479" t="str">
        <f t="shared" si="590"/>
        <v>판타지 웹소설 &gt; 퓨전 판타지</v>
      </c>
    </row>
    <row r="4480" spans="1:48" x14ac:dyDescent="0.4">
      <c r="A4480">
        <v>2313004790</v>
      </c>
      <c r="B4480">
        <v>2313004798</v>
      </c>
      <c r="C4480" t="str">
        <f>T("드래곤은 나 혼자 잡는다 9화")</f>
        <v>드래곤은 나 혼자 잡는다 9화</v>
      </c>
      <c r="D4480" t="str">
        <f>T("9")</f>
        <v>9</v>
      </c>
      <c r="E4480" t="str">
        <f t="shared" si="591"/>
        <v>진문</v>
      </c>
      <c r="H4480" t="str">
        <f t="shared" si="587"/>
        <v>스토리위즈</v>
      </c>
      <c r="I4480" t="str">
        <f t="shared" si="592"/>
        <v>드래곤은 나 혼자 잡는다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1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T4480" t="str">
        <f t="shared" si="593"/>
        <v>9791159288159</v>
      </c>
      <c r="AV4480" t="str">
        <f t="shared" si="590"/>
        <v>판타지 웹소설 &gt; 퓨전 판타지</v>
      </c>
    </row>
    <row r="4481" spans="1:48" x14ac:dyDescent="0.4">
      <c r="A4481">
        <v>2313004790</v>
      </c>
      <c r="B4481">
        <v>2313004799</v>
      </c>
      <c r="C4481" t="str">
        <f>T("드래곤은 나 혼자 잡는다 10화")</f>
        <v>드래곤은 나 혼자 잡는다 10화</v>
      </c>
      <c r="D4481" t="str">
        <f>T("10")</f>
        <v>10</v>
      </c>
      <c r="E4481" t="str">
        <f t="shared" si="591"/>
        <v>진문</v>
      </c>
      <c r="H4481" t="str">
        <f t="shared" si="587"/>
        <v>스토리위즈</v>
      </c>
      <c r="I4481" t="str">
        <f t="shared" si="592"/>
        <v>드래곤은 나 혼자 잡는다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T4481" t="str">
        <f t="shared" si="593"/>
        <v>9791159288159</v>
      </c>
      <c r="AV4481" t="str">
        <f t="shared" si="590"/>
        <v>판타지 웹소설 &gt; 퓨전 판타지</v>
      </c>
    </row>
    <row r="4482" spans="1:48" x14ac:dyDescent="0.4">
      <c r="A4482">
        <v>2313004790</v>
      </c>
      <c r="B4482">
        <v>2313004800</v>
      </c>
      <c r="C4482" t="str">
        <f>T("드래곤은 나 혼자 잡는다 11화")</f>
        <v>드래곤은 나 혼자 잡는다 11화</v>
      </c>
      <c r="D4482" t="str">
        <f>T("11")</f>
        <v>11</v>
      </c>
      <c r="E4482" t="str">
        <f t="shared" si="591"/>
        <v>진문</v>
      </c>
      <c r="H4482" t="str">
        <f t="shared" si="587"/>
        <v>스토리위즈</v>
      </c>
      <c r="I4482" t="str">
        <f t="shared" si="592"/>
        <v>드래곤은 나 혼자 잡는다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1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T4482" t="str">
        <f t="shared" si="593"/>
        <v>9791159288159</v>
      </c>
      <c r="AV4482" t="str">
        <f t="shared" si="590"/>
        <v>판타지 웹소설 &gt; 퓨전 판타지</v>
      </c>
    </row>
    <row r="4483" spans="1:48" x14ac:dyDescent="0.4">
      <c r="A4483">
        <v>2313004790</v>
      </c>
      <c r="B4483">
        <v>2313004801</v>
      </c>
      <c r="C4483" t="str">
        <f>T("드래곤은 나 혼자 잡는다 12화")</f>
        <v>드래곤은 나 혼자 잡는다 12화</v>
      </c>
      <c r="D4483" t="str">
        <f>T("12")</f>
        <v>12</v>
      </c>
      <c r="E4483" t="str">
        <f t="shared" si="591"/>
        <v>진문</v>
      </c>
      <c r="H4483" t="str">
        <f t="shared" si="587"/>
        <v>스토리위즈</v>
      </c>
      <c r="I4483" t="str">
        <f t="shared" si="592"/>
        <v>드래곤은 나 혼자 잡는다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1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T4483" t="str">
        <f t="shared" si="593"/>
        <v>9791159288159</v>
      </c>
      <c r="AV4483" t="str">
        <f t="shared" si="590"/>
        <v>판타지 웹소설 &gt; 퓨전 판타지</v>
      </c>
    </row>
    <row r="4484" spans="1:48" x14ac:dyDescent="0.4">
      <c r="A4484">
        <v>2313004790</v>
      </c>
      <c r="B4484">
        <v>2313004802</v>
      </c>
      <c r="C4484" t="str">
        <f>T("드래곤은 나 혼자 잡는다 13화")</f>
        <v>드래곤은 나 혼자 잡는다 13화</v>
      </c>
      <c r="D4484" t="str">
        <f>T("13")</f>
        <v>13</v>
      </c>
      <c r="E4484" t="str">
        <f t="shared" si="591"/>
        <v>진문</v>
      </c>
      <c r="H4484" t="str">
        <f t="shared" si="587"/>
        <v>스토리위즈</v>
      </c>
      <c r="I4484" t="str">
        <f t="shared" si="592"/>
        <v>드래곤은 나 혼자 잡는다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1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T4484" t="str">
        <f t="shared" si="593"/>
        <v>9791159288159</v>
      </c>
      <c r="AV4484" t="str">
        <f t="shared" si="590"/>
        <v>판타지 웹소설 &gt; 퓨전 판타지</v>
      </c>
    </row>
    <row r="4485" spans="1:48" x14ac:dyDescent="0.4">
      <c r="A4485">
        <v>2313004790</v>
      </c>
      <c r="B4485">
        <v>2313004803</v>
      </c>
      <c r="C4485" t="str">
        <f>T("드래곤은 나 혼자 잡는다 14화")</f>
        <v>드래곤은 나 혼자 잡는다 14화</v>
      </c>
      <c r="D4485" t="str">
        <f>T("14")</f>
        <v>14</v>
      </c>
      <c r="E4485" t="str">
        <f t="shared" si="591"/>
        <v>진문</v>
      </c>
      <c r="H4485" t="str">
        <f t="shared" si="587"/>
        <v>스토리위즈</v>
      </c>
      <c r="I4485" t="str">
        <f t="shared" si="592"/>
        <v>드래곤은 나 혼자 잡는다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1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T4485" t="str">
        <f t="shared" si="593"/>
        <v>9791159288159</v>
      </c>
      <c r="AV4485" t="str">
        <f t="shared" si="590"/>
        <v>판타지 웹소설 &gt; 퓨전 판타지</v>
      </c>
    </row>
    <row r="4486" spans="1:48" x14ac:dyDescent="0.4">
      <c r="A4486">
        <v>2313004790</v>
      </c>
      <c r="B4486">
        <v>2313004804</v>
      </c>
      <c r="C4486" t="str">
        <f>T("드래곤은 나 혼자 잡는다 15화")</f>
        <v>드래곤은 나 혼자 잡는다 15화</v>
      </c>
      <c r="D4486" t="str">
        <f>T("15")</f>
        <v>15</v>
      </c>
      <c r="E4486" t="str">
        <f t="shared" si="591"/>
        <v>진문</v>
      </c>
      <c r="H4486" t="str">
        <f t="shared" si="587"/>
        <v>스토리위즈</v>
      </c>
      <c r="I4486" t="str">
        <f t="shared" si="592"/>
        <v>드래곤은 나 혼자 잡는다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T4486" t="str">
        <f t="shared" si="593"/>
        <v>9791159288159</v>
      </c>
      <c r="AV4486" t="str">
        <f t="shared" si="590"/>
        <v>판타지 웹소설 &gt; 퓨전 판타지</v>
      </c>
    </row>
    <row r="4487" spans="1:48" x14ac:dyDescent="0.4">
      <c r="A4487">
        <v>2313004790</v>
      </c>
      <c r="B4487">
        <v>2313004805</v>
      </c>
      <c r="C4487" t="str">
        <f>T("드래곤은 나 혼자 잡는다 16화")</f>
        <v>드래곤은 나 혼자 잡는다 16화</v>
      </c>
      <c r="D4487" t="str">
        <f>T("16")</f>
        <v>16</v>
      </c>
      <c r="E4487" t="str">
        <f t="shared" si="591"/>
        <v>진문</v>
      </c>
      <c r="H4487" t="str">
        <f t="shared" si="587"/>
        <v>스토리위즈</v>
      </c>
      <c r="I4487" t="str">
        <f t="shared" si="592"/>
        <v>드래곤은 나 혼자 잡는다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T4487" t="str">
        <f t="shared" si="593"/>
        <v>9791159288159</v>
      </c>
      <c r="AV4487" t="str">
        <f t="shared" si="590"/>
        <v>판타지 웹소설 &gt; 퓨전 판타지</v>
      </c>
    </row>
    <row r="4488" spans="1:48" x14ac:dyDescent="0.4">
      <c r="A4488">
        <v>2313004790</v>
      </c>
      <c r="B4488">
        <v>2313004806</v>
      </c>
      <c r="C4488" t="str">
        <f>T("드래곤은 나 혼자 잡는다 17화")</f>
        <v>드래곤은 나 혼자 잡는다 17화</v>
      </c>
      <c r="D4488" t="str">
        <f>T("17")</f>
        <v>17</v>
      </c>
      <c r="E4488" t="str">
        <f t="shared" si="591"/>
        <v>진문</v>
      </c>
      <c r="H4488" t="str">
        <f t="shared" si="587"/>
        <v>스토리위즈</v>
      </c>
      <c r="I4488" t="str">
        <f t="shared" si="592"/>
        <v>드래곤은 나 혼자 잡는다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T4488" t="str">
        <f t="shared" si="593"/>
        <v>9791159288159</v>
      </c>
      <c r="AV4488" t="str">
        <f t="shared" si="590"/>
        <v>판타지 웹소설 &gt; 퓨전 판타지</v>
      </c>
    </row>
    <row r="4489" spans="1:48" x14ac:dyDescent="0.4">
      <c r="A4489">
        <v>2313004790</v>
      </c>
      <c r="B4489">
        <v>2313004807</v>
      </c>
      <c r="C4489" t="str">
        <f>T("드래곤은 나 혼자 잡는다 18화")</f>
        <v>드래곤은 나 혼자 잡는다 18화</v>
      </c>
      <c r="D4489" t="str">
        <f>T("18")</f>
        <v>18</v>
      </c>
      <c r="E4489" t="str">
        <f t="shared" si="591"/>
        <v>진문</v>
      </c>
      <c r="H4489" t="str">
        <f t="shared" si="587"/>
        <v>스토리위즈</v>
      </c>
      <c r="I4489" t="str">
        <f t="shared" si="592"/>
        <v>드래곤은 나 혼자 잡는다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T4489" t="str">
        <f t="shared" si="593"/>
        <v>9791159288159</v>
      </c>
      <c r="AV4489" t="str">
        <f t="shared" si="590"/>
        <v>판타지 웹소설 &gt; 퓨전 판타지</v>
      </c>
    </row>
    <row r="4490" spans="1:48" x14ac:dyDescent="0.4">
      <c r="A4490">
        <v>2313005164</v>
      </c>
      <c r="B4490">
        <v>2313005164</v>
      </c>
      <c r="C4490" t="str">
        <f>T("성군이십니다 1화")</f>
        <v>성군이십니다 1화</v>
      </c>
      <c r="D4490" t="str">
        <f>T("1")</f>
        <v>1</v>
      </c>
      <c r="E4490" t="str">
        <f t="shared" ref="E4490:E4538" si="594">T("이준영")</f>
        <v>이준영</v>
      </c>
      <c r="H4490" t="str">
        <f t="shared" si="587"/>
        <v>스토리위즈</v>
      </c>
      <c r="I4490" t="str">
        <f t="shared" ref="I4490:I4538" si="595">T("성군이십니다")</f>
        <v>성군이십니다</v>
      </c>
      <c r="J4490">
        <v>0</v>
      </c>
      <c r="K4490">
        <v>0</v>
      </c>
      <c r="L4490">
        <v>0</v>
      </c>
      <c r="M4490">
        <v>49</v>
      </c>
      <c r="N4490">
        <v>0</v>
      </c>
      <c r="O4490">
        <v>0</v>
      </c>
      <c r="P4490">
        <v>28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77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T4490" t="str">
        <f t="shared" ref="AT4490:AT4538" si="596">T("9791159287565")</f>
        <v>9791159287565</v>
      </c>
      <c r="AV4490" t="str">
        <f t="shared" si="590"/>
        <v>판타지 웹소설 &gt; 퓨전 판타지</v>
      </c>
    </row>
    <row r="4491" spans="1:48" x14ac:dyDescent="0.4">
      <c r="A4491">
        <v>2313005164</v>
      </c>
      <c r="B4491">
        <v>2313005165</v>
      </c>
      <c r="C4491" t="str">
        <f>T("성군이십니다 2화")</f>
        <v>성군이십니다 2화</v>
      </c>
      <c r="D4491" t="str">
        <f>T("2")</f>
        <v>2</v>
      </c>
      <c r="E4491" t="str">
        <f t="shared" si="594"/>
        <v>이준영</v>
      </c>
      <c r="H4491" t="str">
        <f t="shared" si="587"/>
        <v>스토리위즈</v>
      </c>
      <c r="I4491" t="str">
        <f t="shared" si="595"/>
        <v>성군이십니다</v>
      </c>
      <c r="J4491">
        <v>0</v>
      </c>
      <c r="K4491">
        <v>0</v>
      </c>
      <c r="L4491">
        <v>0</v>
      </c>
      <c r="M4491">
        <v>37</v>
      </c>
      <c r="N4491">
        <v>0</v>
      </c>
      <c r="O4491">
        <v>0</v>
      </c>
      <c r="P4491">
        <v>14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51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T4491" t="str">
        <f t="shared" si="596"/>
        <v>9791159287565</v>
      </c>
      <c r="AV4491" t="str">
        <f t="shared" si="590"/>
        <v>판타지 웹소설 &gt; 퓨전 판타지</v>
      </c>
    </row>
    <row r="4492" spans="1:48" x14ac:dyDescent="0.4">
      <c r="A4492">
        <v>2313005164</v>
      </c>
      <c r="B4492">
        <v>2313005166</v>
      </c>
      <c r="C4492" t="str">
        <f>T("성군이십니다 3화")</f>
        <v>성군이십니다 3화</v>
      </c>
      <c r="D4492" t="str">
        <f>T("3")</f>
        <v>3</v>
      </c>
      <c r="E4492" t="str">
        <f t="shared" si="594"/>
        <v>이준영</v>
      </c>
      <c r="H4492" t="str">
        <f t="shared" si="587"/>
        <v>스토리위즈</v>
      </c>
      <c r="I4492" t="str">
        <f t="shared" si="595"/>
        <v>성군이십니다</v>
      </c>
      <c r="J4492">
        <v>0</v>
      </c>
      <c r="K4492">
        <v>0</v>
      </c>
      <c r="L4492">
        <v>0</v>
      </c>
      <c r="M4492">
        <v>29</v>
      </c>
      <c r="N4492">
        <v>0</v>
      </c>
      <c r="O4492">
        <v>0</v>
      </c>
      <c r="P4492">
        <v>14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43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T4492" t="str">
        <f t="shared" si="596"/>
        <v>9791159287565</v>
      </c>
      <c r="AV4492" t="str">
        <f t="shared" si="590"/>
        <v>판타지 웹소설 &gt; 퓨전 판타지</v>
      </c>
    </row>
    <row r="4493" spans="1:48" x14ac:dyDescent="0.4">
      <c r="A4493">
        <v>2313005164</v>
      </c>
      <c r="B4493">
        <v>2313005167</v>
      </c>
      <c r="C4493" t="str">
        <f>T("성군이십니다 4화")</f>
        <v>성군이십니다 4화</v>
      </c>
      <c r="D4493" t="str">
        <f>T("4")</f>
        <v>4</v>
      </c>
      <c r="E4493" t="str">
        <f t="shared" si="594"/>
        <v>이준영</v>
      </c>
      <c r="H4493" t="str">
        <f t="shared" si="587"/>
        <v>스토리위즈</v>
      </c>
      <c r="I4493" t="str">
        <f t="shared" si="595"/>
        <v>성군이십니다</v>
      </c>
      <c r="J4493">
        <v>0</v>
      </c>
      <c r="K4493">
        <v>0</v>
      </c>
      <c r="L4493">
        <v>0</v>
      </c>
      <c r="M4493">
        <v>29</v>
      </c>
      <c r="N4493">
        <v>0</v>
      </c>
      <c r="O4493">
        <v>0</v>
      </c>
      <c r="P4493">
        <v>14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43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T4493" t="str">
        <f t="shared" si="596"/>
        <v>9791159287565</v>
      </c>
      <c r="AV4493" t="str">
        <f t="shared" si="590"/>
        <v>판타지 웹소설 &gt; 퓨전 판타지</v>
      </c>
    </row>
    <row r="4494" spans="1:48" x14ac:dyDescent="0.4">
      <c r="A4494">
        <v>2313005164</v>
      </c>
      <c r="B4494">
        <v>2313005168</v>
      </c>
      <c r="C4494" t="str">
        <f>T("성군이십니다 5화")</f>
        <v>성군이십니다 5화</v>
      </c>
      <c r="D4494" t="str">
        <f>T("5")</f>
        <v>5</v>
      </c>
      <c r="E4494" t="str">
        <f t="shared" si="594"/>
        <v>이준영</v>
      </c>
      <c r="H4494" t="str">
        <f t="shared" si="587"/>
        <v>스토리위즈</v>
      </c>
      <c r="I4494" t="str">
        <f t="shared" si="595"/>
        <v>성군이십니다</v>
      </c>
      <c r="J4494">
        <v>0</v>
      </c>
      <c r="K4494">
        <v>0</v>
      </c>
      <c r="L4494">
        <v>0</v>
      </c>
      <c r="M4494">
        <v>27</v>
      </c>
      <c r="N4494">
        <v>0</v>
      </c>
      <c r="O4494">
        <v>0</v>
      </c>
      <c r="P4494">
        <v>14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41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T4494" t="str">
        <f t="shared" si="596"/>
        <v>9791159287565</v>
      </c>
      <c r="AV4494" t="str">
        <f t="shared" si="590"/>
        <v>판타지 웹소설 &gt; 퓨전 판타지</v>
      </c>
    </row>
    <row r="4495" spans="1:48" x14ac:dyDescent="0.4">
      <c r="A4495">
        <v>2313005164</v>
      </c>
      <c r="B4495">
        <v>2313005169</v>
      </c>
      <c r="C4495" t="str">
        <f>T("성군이십니다 6화")</f>
        <v>성군이십니다 6화</v>
      </c>
      <c r="D4495" t="str">
        <f>T("6")</f>
        <v>6</v>
      </c>
      <c r="E4495" t="str">
        <f t="shared" si="594"/>
        <v>이준영</v>
      </c>
      <c r="H4495" t="str">
        <f t="shared" si="587"/>
        <v>스토리위즈</v>
      </c>
      <c r="I4495" t="str">
        <f t="shared" si="595"/>
        <v>성군이십니다</v>
      </c>
      <c r="J4495">
        <v>0</v>
      </c>
      <c r="K4495">
        <v>0</v>
      </c>
      <c r="L4495">
        <v>0</v>
      </c>
      <c r="M4495">
        <v>21</v>
      </c>
      <c r="N4495">
        <v>0</v>
      </c>
      <c r="O4495">
        <v>0</v>
      </c>
      <c r="P4495">
        <v>14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35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T4495" t="str">
        <f t="shared" si="596"/>
        <v>9791159287565</v>
      </c>
      <c r="AV4495" t="str">
        <f t="shared" si="590"/>
        <v>판타지 웹소설 &gt; 퓨전 판타지</v>
      </c>
    </row>
    <row r="4496" spans="1:48" x14ac:dyDescent="0.4">
      <c r="A4496">
        <v>2313005164</v>
      </c>
      <c r="B4496">
        <v>2313005170</v>
      </c>
      <c r="C4496" t="str">
        <f>T("성군이십니다 7화")</f>
        <v>성군이십니다 7화</v>
      </c>
      <c r="D4496" t="str">
        <f>T("7")</f>
        <v>7</v>
      </c>
      <c r="E4496" t="str">
        <f t="shared" si="594"/>
        <v>이준영</v>
      </c>
      <c r="H4496" t="str">
        <f t="shared" si="587"/>
        <v>스토리위즈</v>
      </c>
      <c r="I4496" t="str">
        <f t="shared" si="595"/>
        <v>성군이십니다</v>
      </c>
      <c r="J4496">
        <v>0</v>
      </c>
      <c r="K4496">
        <v>0</v>
      </c>
      <c r="L4496">
        <v>0</v>
      </c>
      <c r="M4496">
        <v>19</v>
      </c>
      <c r="N4496">
        <v>0</v>
      </c>
      <c r="O4496">
        <v>0</v>
      </c>
      <c r="P4496">
        <v>15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34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T4496" t="str">
        <f t="shared" si="596"/>
        <v>9791159287565</v>
      </c>
      <c r="AV4496" t="str">
        <f t="shared" si="590"/>
        <v>판타지 웹소설 &gt; 퓨전 판타지</v>
      </c>
    </row>
    <row r="4497" spans="1:48" x14ac:dyDescent="0.4">
      <c r="A4497">
        <v>2313005164</v>
      </c>
      <c r="B4497">
        <v>2313005171</v>
      </c>
      <c r="C4497" t="str">
        <f>T("성군이십니다 8화")</f>
        <v>성군이십니다 8화</v>
      </c>
      <c r="D4497" t="str">
        <f>T("8")</f>
        <v>8</v>
      </c>
      <c r="E4497" t="str">
        <f t="shared" si="594"/>
        <v>이준영</v>
      </c>
      <c r="H4497" t="str">
        <f t="shared" si="587"/>
        <v>스토리위즈</v>
      </c>
      <c r="I4497" t="str">
        <f t="shared" si="595"/>
        <v>성군이십니다</v>
      </c>
      <c r="J4497">
        <v>0</v>
      </c>
      <c r="K4497">
        <v>0</v>
      </c>
      <c r="L4497">
        <v>0</v>
      </c>
      <c r="M4497">
        <v>20</v>
      </c>
      <c r="N4497">
        <v>0</v>
      </c>
      <c r="O4497">
        <v>0</v>
      </c>
      <c r="P4497">
        <v>14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34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T4497" t="str">
        <f t="shared" si="596"/>
        <v>9791159287565</v>
      </c>
      <c r="AV4497" t="str">
        <f t="shared" si="590"/>
        <v>판타지 웹소설 &gt; 퓨전 판타지</v>
      </c>
    </row>
    <row r="4498" spans="1:48" x14ac:dyDescent="0.4">
      <c r="A4498">
        <v>2313005164</v>
      </c>
      <c r="B4498">
        <v>2313005172</v>
      </c>
      <c r="C4498" t="str">
        <f>T("성군이십니다 9화")</f>
        <v>성군이십니다 9화</v>
      </c>
      <c r="D4498" t="str">
        <f>T("9")</f>
        <v>9</v>
      </c>
      <c r="E4498" t="str">
        <f t="shared" si="594"/>
        <v>이준영</v>
      </c>
      <c r="H4498" t="str">
        <f t="shared" si="587"/>
        <v>스토리위즈</v>
      </c>
      <c r="I4498" t="str">
        <f t="shared" si="595"/>
        <v>성군이십니다</v>
      </c>
      <c r="J4498">
        <v>0</v>
      </c>
      <c r="K4498">
        <v>0</v>
      </c>
      <c r="L4498">
        <v>0</v>
      </c>
      <c r="M4498">
        <v>18</v>
      </c>
      <c r="N4498">
        <v>0</v>
      </c>
      <c r="O4498">
        <v>0</v>
      </c>
      <c r="P4498">
        <v>14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32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T4498" t="str">
        <f t="shared" si="596"/>
        <v>9791159287565</v>
      </c>
      <c r="AV4498" t="str">
        <f t="shared" si="590"/>
        <v>판타지 웹소설 &gt; 퓨전 판타지</v>
      </c>
    </row>
    <row r="4499" spans="1:48" x14ac:dyDescent="0.4">
      <c r="A4499">
        <v>2313005164</v>
      </c>
      <c r="B4499">
        <v>2313005173</v>
      </c>
      <c r="C4499" t="str">
        <f>T("성군이십니다 10화")</f>
        <v>성군이십니다 10화</v>
      </c>
      <c r="D4499" t="str">
        <f>T("10")</f>
        <v>10</v>
      </c>
      <c r="E4499" t="str">
        <f t="shared" si="594"/>
        <v>이준영</v>
      </c>
      <c r="H4499" t="str">
        <f t="shared" si="587"/>
        <v>스토리위즈</v>
      </c>
      <c r="I4499" t="str">
        <f t="shared" si="595"/>
        <v>성군이십니다</v>
      </c>
      <c r="J4499">
        <v>0</v>
      </c>
      <c r="K4499">
        <v>0</v>
      </c>
      <c r="L4499">
        <v>0</v>
      </c>
      <c r="M4499">
        <v>17</v>
      </c>
      <c r="N4499">
        <v>0</v>
      </c>
      <c r="O4499">
        <v>0</v>
      </c>
      <c r="P4499">
        <v>14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31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T4499" t="str">
        <f t="shared" si="596"/>
        <v>9791159287565</v>
      </c>
      <c r="AV4499" t="str">
        <f t="shared" si="590"/>
        <v>판타지 웹소설 &gt; 퓨전 판타지</v>
      </c>
    </row>
    <row r="4500" spans="1:48" x14ac:dyDescent="0.4">
      <c r="A4500">
        <v>2313005164</v>
      </c>
      <c r="B4500">
        <v>2313005174</v>
      </c>
      <c r="C4500" t="str">
        <f>T("성군이십니다 11화")</f>
        <v>성군이십니다 11화</v>
      </c>
      <c r="D4500" t="str">
        <f>T("11")</f>
        <v>11</v>
      </c>
      <c r="E4500" t="str">
        <f t="shared" si="594"/>
        <v>이준영</v>
      </c>
      <c r="H4500" t="str">
        <f t="shared" si="587"/>
        <v>스토리위즈</v>
      </c>
      <c r="I4500" t="str">
        <f t="shared" si="595"/>
        <v>성군이십니다</v>
      </c>
      <c r="J4500">
        <v>0</v>
      </c>
      <c r="K4500">
        <v>0</v>
      </c>
      <c r="L4500">
        <v>0</v>
      </c>
      <c r="M4500">
        <v>16</v>
      </c>
      <c r="N4500">
        <v>0</v>
      </c>
      <c r="O4500">
        <v>0</v>
      </c>
      <c r="P4500">
        <v>13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29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T4500" t="str">
        <f t="shared" si="596"/>
        <v>9791159287565</v>
      </c>
      <c r="AV4500" t="str">
        <f t="shared" si="590"/>
        <v>판타지 웹소설 &gt; 퓨전 판타지</v>
      </c>
    </row>
    <row r="4501" spans="1:48" x14ac:dyDescent="0.4">
      <c r="A4501">
        <v>2313005164</v>
      </c>
      <c r="B4501">
        <v>2313005175</v>
      </c>
      <c r="C4501" t="str">
        <f>T("성군이십니다 12화")</f>
        <v>성군이십니다 12화</v>
      </c>
      <c r="D4501" t="str">
        <f>T("12")</f>
        <v>12</v>
      </c>
      <c r="E4501" t="str">
        <f t="shared" si="594"/>
        <v>이준영</v>
      </c>
      <c r="H4501" t="str">
        <f t="shared" si="587"/>
        <v>스토리위즈</v>
      </c>
      <c r="I4501" t="str">
        <f t="shared" si="595"/>
        <v>성군이십니다</v>
      </c>
      <c r="J4501">
        <v>0</v>
      </c>
      <c r="K4501">
        <v>0</v>
      </c>
      <c r="L4501">
        <v>0</v>
      </c>
      <c r="M4501">
        <v>16</v>
      </c>
      <c r="N4501">
        <v>0</v>
      </c>
      <c r="O4501">
        <v>0</v>
      </c>
      <c r="P4501">
        <v>12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28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T4501" t="str">
        <f t="shared" si="596"/>
        <v>9791159287565</v>
      </c>
      <c r="AV4501" t="str">
        <f t="shared" si="590"/>
        <v>판타지 웹소설 &gt; 퓨전 판타지</v>
      </c>
    </row>
    <row r="4502" spans="1:48" x14ac:dyDescent="0.4">
      <c r="A4502">
        <v>2313005164</v>
      </c>
      <c r="B4502">
        <v>2313005176</v>
      </c>
      <c r="C4502" t="str">
        <f>T("성군이십니다 13화")</f>
        <v>성군이십니다 13화</v>
      </c>
      <c r="D4502" t="str">
        <f>T("13")</f>
        <v>13</v>
      </c>
      <c r="E4502" t="str">
        <f t="shared" si="594"/>
        <v>이준영</v>
      </c>
      <c r="H4502" t="str">
        <f t="shared" si="587"/>
        <v>스토리위즈</v>
      </c>
      <c r="I4502" t="str">
        <f t="shared" si="595"/>
        <v>성군이십니다</v>
      </c>
      <c r="J4502">
        <v>0</v>
      </c>
      <c r="K4502">
        <v>0</v>
      </c>
      <c r="L4502">
        <v>0</v>
      </c>
      <c r="M4502">
        <v>13</v>
      </c>
      <c r="N4502">
        <v>0</v>
      </c>
      <c r="O4502">
        <v>0</v>
      </c>
      <c r="P4502">
        <v>12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25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T4502" t="str">
        <f t="shared" si="596"/>
        <v>9791159287565</v>
      </c>
      <c r="AV4502" t="str">
        <f t="shared" si="590"/>
        <v>판타지 웹소설 &gt; 퓨전 판타지</v>
      </c>
    </row>
    <row r="4503" spans="1:48" x14ac:dyDescent="0.4">
      <c r="A4503">
        <v>2313005164</v>
      </c>
      <c r="B4503">
        <v>2313005177</v>
      </c>
      <c r="C4503" t="str">
        <f>T("성군이십니다 14화")</f>
        <v>성군이십니다 14화</v>
      </c>
      <c r="D4503" t="str">
        <f>T("14")</f>
        <v>14</v>
      </c>
      <c r="E4503" t="str">
        <f t="shared" si="594"/>
        <v>이준영</v>
      </c>
      <c r="H4503" t="str">
        <f t="shared" si="587"/>
        <v>스토리위즈</v>
      </c>
      <c r="I4503" t="str">
        <f t="shared" si="595"/>
        <v>성군이십니다</v>
      </c>
      <c r="J4503">
        <v>0</v>
      </c>
      <c r="K4503">
        <v>0</v>
      </c>
      <c r="L4503">
        <v>0</v>
      </c>
      <c r="M4503">
        <v>13</v>
      </c>
      <c r="N4503">
        <v>0</v>
      </c>
      <c r="O4503">
        <v>0</v>
      </c>
      <c r="P4503">
        <v>12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25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T4503" t="str">
        <f t="shared" si="596"/>
        <v>9791159287565</v>
      </c>
      <c r="AV4503" t="str">
        <f t="shared" si="590"/>
        <v>판타지 웹소설 &gt; 퓨전 판타지</v>
      </c>
    </row>
    <row r="4504" spans="1:48" x14ac:dyDescent="0.4">
      <c r="A4504">
        <v>2313005164</v>
      </c>
      <c r="B4504">
        <v>2313005178</v>
      </c>
      <c r="C4504" t="str">
        <f>T("성군이십니다 15화")</f>
        <v>성군이십니다 15화</v>
      </c>
      <c r="D4504" t="str">
        <f>T("15")</f>
        <v>15</v>
      </c>
      <c r="E4504" t="str">
        <f t="shared" si="594"/>
        <v>이준영</v>
      </c>
      <c r="H4504" t="str">
        <f t="shared" si="587"/>
        <v>스토리위즈</v>
      </c>
      <c r="I4504" t="str">
        <f t="shared" si="595"/>
        <v>성군이십니다</v>
      </c>
      <c r="J4504">
        <v>0</v>
      </c>
      <c r="K4504">
        <v>0</v>
      </c>
      <c r="L4504">
        <v>0</v>
      </c>
      <c r="M4504">
        <v>13</v>
      </c>
      <c r="N4504">
        <v>0</v>
      </c>
      <c r="O4504">
        <v>0</v>
      </c>
      <c r="P4504">
        <v>12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25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T4504" t="str">
        <f t="shared" si="596"/>
        <v>9791159287565</v>
      </c>
      <c r="AV4504" t="str">
        <f t="shared" si="590"/>
        <v>판타지 웹소설 &gt; 퓨전 판타지</v>
      </c>
    </row>
    <row r="4505" spans="1:48" x14ac:dyDescent="0.4">
      <c r="A4505">
        <v>2313005164</v>
      </c>
      <c r="B4505">
        <v>2313005179</v>
      </c>
      <c r="C4505" t="str">
        <f>T("성군이십니다 16화")</f>
        <v>성군이십니다 16화</v>
      </c>
      <c r="D4505" t="str">
        <f>T("16")</f>
        <v>16</v>
      </c>
      <c r="E4505" t="str">
        <f t="shared" si="594"/>
        <v>이준영</v>
      </c>
      <c r="H4505" t="str">
        <f t="shared" si="587"/>
        <v>스토리위즈</v>
      </c>
      <c r="I4505" t="str">
        <f t="shared" si="595"/>
        <v>성군이십니다</v>
      </c>
      <c r="J4505">
        <v>0</v>
      </c>
      <c r="K4505">
        <v>0</v>
      </c>
      <c r="L4505">
        <v>0</v>
      </c>
      <c r="M4505">
        <v>13</v>
      </c>
      <c r="N4505">
        <v>0</v>
      </c>
      <c r="O4505">
        <v>0</v>
      </c>
      <c r="P4505">
        <v>12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25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T4505" t="str">
        <f t="shared" si="596"/>
        <v>9791159287565</v>
      </c>
      <c r="AV4505" t="str">
        <f t="shared" si="590"/>
        <v>판타지 웹소설 &gt; 퓨전 판타지</v>
      </c>
    </row>
    <row r="4506" spans="1:48" x14ac:dyDescent="0.4">
      <c r="A4506">
        <v>2313005164</v>
      </c>
      <c r="B4506">
        <v>2313005180</v>
      </c>
      <c r="C4506" t="str">
        <f>T("성군이십니다 17화")</f>
        <v>성군이십니다 17화</v>
      </c>
      <c r="D4506" t="str">
        <f>T("17")</f>
        <v>17</v>
      </c>
      <c r="E4506" t="str">
        <f t="shared" si="594"/>
        <v>이준영</v>
      </c>
      <c r="H4506" t="str">
        <f t="shared" si="587"/>
        <v>스토리위즈</v>
      </c>
      <c r="I4506" t="str">
        <f t="shared" si="595"/>
        <v>성군이십니다</v>
      </c>
      <c r="J4506">
        <v>0</v>
      </c>
      <c r="K4506">
        <v>0</v>
      </c>
      <c r="L4506">
        <v>0</v>
      </c>
      <c r="M4506">
        <v>12</v>
      </c>
      <c r="N4506">
        <v>0</v>
      </c>
      <c r="O4506">
        <v>0</v>
      </c>
      <c r="P4506">
        <v>12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24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T4506" t="str">
        <f t="shared" si="596"/>
        <v>9791159287565</v>
      </c>
      <c r="AV4506" t="str">
        <f t="shared" si="590"/>
        <v>판타지 웹소설 &gt; 퓨전 판타지</v>
      </c>
    </row>
    <row r="4507" spans="1:48" x14ac:dyDescent="0.4">
      <c r="A4507">
        <v>2313005164</v>
      </c>
      <c r="B4507">
        <v>2313005181</v>
      </c>
      <c r="C4507" t="str">
        <f>T("성군이십니다 18화")</f>
        <v>성군이십니다 18화</v>
      </c>
      <c r="D4507" t="str">
        <f>T("18")</f>
        <v>18</v>
      </c>
      <c r="E4507" t="str">
        <f t="shared" si="594"/>
        <v>이준영</v>
      </c>
      <c r="H4507" t="str">
        <f t="shared" si="587"/>
        <v>스토리위즈</v>
      </c>
      <c r="I4507" t="str">
        <f t="shared" si="595"/>
        <v>성군이십니다</v>
      </c>
      <c r="J4507">
        <v>0</v>
      </c>
      <c r="K4507">
        <v>0</v>
      </c>
      <c r="L4507">
        <v>0</v>
      </c>
      <c r="M4507">
        <v>12</v>
      </c>
      <c r="N4507">
        <v>0</v>
      </c>
      <c r="O4507">
        <v>0</v>
      </c>
      <c r="P4507">
        <v>12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24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T4507" t="str">
        <f t="shared" si="596"/>
        <v>9791159287565</v>
      </c>
      <c r="AV4507" t="str">
        <f t="shared" si="590"/>
        <v>판타지 웹소설 &gt; 퓨전 판타지</v>
      </c>
    </row>
    <row r="4508" spans="1:48" x14ac:dyDescent="0.4">
      <c r="A4508">
        <v>2313005164</v>
      </c>
      <c r="B4508">
        <v>2313005182</v>
      </c>
      <c r="C4508" t="str">
        <f>T("성군이십니다 19화")</f>
        <v>성군이십니다 19화</v>
      </c>
      <c r="D4508" t="str">
        <f>T("19")</f>
        <v>19</v>
      </c>
      <c r="E4508" t="str">
        <f t="shared" si="594"/>
        <v>이준영</v>
      </c>
      <c r="H4508" t="str">
        <f t="shared" si="587"/>
        <v>스토리위즈</v>
      </c>
      <c r="I4508" t="str">
        <f t="shared" si="595"/>
        <v>성군이십니다</v>
      </c>
      <c r="J4508">
        <v>0</v>
      </c>
      <c r="K4508">
        <v>0</v>
      </c>
      <c r="L4508">
        <v>0</v>
      </c>
      <c r="M4508">
        <v>12</v>
      </c>
      <c r="N4508">
        <v>0</v>
      </c>
      <c r="O4508">
        <v>0</v>
      </c>
      <c r="P4508">
        <v>12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24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T4508" t="str">
        <f t="shared" si="596"/>
        <v>9791159287565</v>
      </c>
      <c r="AV4508" t="str">
        <f t="shared" si="590"/>
        <v>판타지 웹소설 &gt; 퓨전 판타지</v>
      </c>
    </row>
    <row r="4509" spans="1:48" x14ac:dyDescent="0.4">
      <c r="A4509">
        <v>2313005164</v>
      </c>
      <c r="B4509">
        <v>2313005183</v>
      </c>
      <c r="C4509" t="str">
        <f>T("성군이십니다 20화")</f>
        <v>성군이십니다 20화</v>
      </c>
      <c r="D4509" t="str">
        <f>T("20")</f>
        <v>20</v>
      </c>
      <c r="E4509" t="str">
        <f t="shared" si="594"/>
        <v>이준영</v>
      </c>
      <c r="H4509" t="str">
        <f t="shared" si="587"/>
        <v>스토리위즈</v>
      </c>
      <c r="I4509" t="str">
        <f t="shared" si="595"/>
        <v>성군이십니다</v>
      </c>
      <c r="J4509">
        <v>0</v>
      </c>
      <c r="K4509">
        <v>0</v>
      </c>
      <c r="L4509">
        <v>0</v>
      </c>
      <c r="M4509">
        <v>12</v>
      </c>
      <c r="N4509">
        <v>0</v>
      </c>
      <c r="O4509">
        <v>0</v>
      </c>
      <c r="P4509">
        <v>12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24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T4509" t="str">
        <f t="shared" si="596"/>
        <v>9791159287565</v>
      </c>
      <c r="AV4509" t="str">
        <f t="shared" si="590"/>
        <v>판타지 웹소설 &gt; 퓨전 판타지</v>
      </c>
    </row>
    <row r="4510" spans="1:48" x14ac:dyDescent="0.4">
      <c r="A4510">
        <v>2313005164</v>
      </c>
      <c r="B4510">
        <v>2313005184</v>
      </c>
      <c r="C4510" t="str">
        <f>T("성군이십니다 21화")</f>
        <v>성군이십니다 21화</v>
      </c>
      <c r="D4510" t="str">
        <f>T("21")</f>
        <v>21</v>
      </c>
      <c r="E4510" t="str">
        <f t="shared" si="594"/>
        <v>이준영</v>
      </c>
      <c r="H4510" t="str">
        <f t="shared" si="587"/>
        <v>스토리위즈</v>
      </c>
      <c r="I4510" t="str">
        <f t="shared" si="595"/>
        <v>성군이십니다</v>
      </c>
      <c r="J4510">
        <v>0</v>
      </c>
      <c r="K4510">
        <v>0</v>
      </c>
      <c r="L4510">
        <v>0</v>
      </c>
      <c r="M4510">
        <v>12</v>
      </c>
      <c r="N4510">
        <v>0</v>
      </c>
      <c r="O4510">
        <v>0</v>
      </c>
      <c r="P4510">
        <v>12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24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T4510" t="str">
        <f t="shared" si="596"/>
        <v>9791159287565</v>
      </c>
      <c r="AV4510" t="str">
        <f t="shared" si="590"/>
        <v>판타지 웹소설 &gt; 퓨전 판타지</v>
      </c>
    </row>
    <row r="4511" spans="1:48" x14ac:dyDescent="0.4">
      <c r="A4511">
        <v>2313005164</v>
      </c>
      <c r="B4511">
        <v>2313005185</v>
      </c>
      <c r="C4511" t="str">
        <f>T("성군이십니다 22화")</f>
        <v>성군이십니다 22화</v>
      </c>
      <c r="D4511" t="str">
        <f>T("22")</f>
        <v>22</v>
      </c>
      <c r="E4511" t="str">
        <f t="shared" si="594"/>
        <v>이준영</v>
      </c>
      <c r="H4511" t="str">
        <f t="shared" ref="H4511:H4574" si="597">T("스토리위즈")</f>
        <v>스토리위즈</v>
      </c>
      <c r="I4511" t="str">
        <f t="shared" si="595"/>
        <v>성군이십니다</v>
      </c>
      <c r="J4511">
        <v>0</v>
      </c>
      <c r="K4511">
        <v>0</v>
      </c>
      <c r="L4511">
        <v>0</v>
      </c>
      <c r="M4511">
        <v>11</v>
      </c>
      <c r="N4511">
        <v>0</v>
      </c>
      <c r="O4511">
        <v>0</v>
      </c>
      <c r="P4511">
        <v>12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23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T4511" t="str">
        <f t="shared" si="596"/>
        <v>9791159287565</v>
      </c>
      <c r="AV4511" t="str">
        <f t="shared" ref="AV4511:AV4538" si="598">T("판타지 웹소설 &gt; 퓨전 판타지")</f>
        <v>판타지 웹소설 &gt; 퓨전 판타지</v>
      </c>
    </row>
    <row r="4512" spans="1:48" x14ac:dyDescent="0.4">
      <c r="A4512">
        <v>2313005164</v>
      </c>
      <c r="B4512">
        <v>2313005186</v>
      </c>
      <c r="C4512" t="str">
        <f>T("성군이십니다 23화")</f>
        <v>성군이십니다 23화</v>
      </c>
      <c r="D4512" t="str">
        <f>T("23")</f>
        <v>23</v>
      </c>
      <c r="E4512" t="str">
        <f t="shared" si="594"/>
        <v>이준영</v>
      </c>
      <c r="H4512" t="str">
        <f t="shared" si="597"/>
        <v>스토리위즈</v>
      </c>
      <c r="I4512" t="str">
        <f t="shared" si="595"/>
        <v>성군이십니다</v>
      </c>
      <c r="J4512">
        <v>0</v>
      </c>
      <c r="K4512">
        <v>0</v>
      </c>
      <c r="L4512">
        <v>0</v>
      </c>
      <c r="M4512">
        <v>11</v>
      </c>
      <c r="N4512">
        <v>0</v>
      </c>
      <c r="O4512">
        <v>0</v>
      </c>
      <c r="P4512">
        <v>12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23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T4512" t="str">
        <f t="shared" si="596"/>
        <v>9791159287565</v>
      </c>
      <c r="AV4512" t="str">
        <f t="shared" si="598"/>
        <v>판타지 웹소설 &gt; 퓨전 판타지</v>
      </c>
    </row>
    <row r="4513" spans="1:48" x14ac:dyDescent="0.4">
      <c r="A4513">
        <v>2313005164</v>
      </c>
      <c r="B4513">
        <v>2313005187</v>
      </c>
      <c r="C4513" t="str">
        <f>T("성군이십니다 24화")</f>
        <v>성군이십니다 24화</v>
      </c>
      <c r="D4513" t="str">
        <f>T("24")</f>
        <v>24</v>
      </c>
      <c r="E4513" t="str">
        <f t="shared" si="594"/>
        <v>이준영</v>
      </c>
      <c r="H4513" t="str">
        <f t="shared" si="597"/>
        <v>스토리위즈</v>
      </c>
      <c r="I4513" t="str">
        <f t="shared" si="595"/>
        <v>성군이십니다</v>
      </c>
      <c r="J4513">
        <v>0</v>
      </c>
      <c r="K4513">
        <v>0</v>
      </c>
      <c r="L4513">
        <v>0</v>
      </c>
      <c r="M4513">
        <v>11</v>
      </c>
      <c r="N4513">
        <v>0</v>
      </c>
      <c r="O4513">
        <v>0</v>
      </c>
      <c r="P4513">
        <v>12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23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T4513" t="str">
        <f t="shared" si="596"/>
        <v>9791159287565</v>
      </c>
      <c r="AV4513" t="str">
        <f t="shared" si="598"/>
        <v>판타지 웹소설 &gt; 퓨전 판타지</v>
      </c>
    </row>
    <row r="4514" spans="1:48" x14ac:dyDescent="0.4">
      <c r="A4514">
        <v>2313005164</v>
      </c>
      <c r="B4514">
        <v>2313005188</v>
      </c>
      <c r="C4514" t="str">
        <f>T("성군이십니다 25화")</f>
        <v>성군이십니다 25화</v>
      </c>
      <c r="D4514" t="str">
        <f>T("25")</f>
        <v>25</v>
      </c>
      <c r="E4514" t="str">
        <f t="shared" si="594"/>
        <v>이준영</v>
      </c>
      <c r="H4514" t="str">
        <f t="shared" si="597"/>
        <v>스토리위즈</v>
      </c>
      <c r="I4514" t="str">
        <f t="shared" si="595"/>
        <v>성군이십니다</v>
      </c>
      <c r="J4514">
        <v>0</v>
      </c>
      <c r="K4514">
        <v>0</v>
      </c>
      <c r="L4514">
        <v>0</v>
      </c>
      <c r="M4514">
        <v>11</v>
      </c>
      <c r="N4514">
        <v>0</v>
      </c>
      <c r="O4514">
        <v>0</v>
      </c>
      <c r="P4514">
        <v>12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23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T4514" t="str">
        <f t="shared" si="596"/>
        <v>9791159287565</v>
      </c>
      <c r="AV4514" t="str">
        <f t="shared" si="598"/>
        <v>판타지 웹소설 &gt; 퓨전 판타지</v>
      </c>
    </row>
    <row r="4515" spans="1:48" x14ac:dyDescent="0.4">
      <c r="A4515">
        <v>2313005164</v>
      </c>
      <c r="B4515">
        <v>2313005190</v>
      </c>
      <c r="C4515" t="str">
        <f>T("성군이십니다 27화")</f>
        <v>성군이십니다 27화</v>
      </c>
      <c r="D4515" t="str">
        <f>T("27")</f>
        <v>27</v>
      </c>
      <c r="E4515" t="str">
        <f t="shared" si="594"/>
        <v>이준영</v>
      </c>
      <c r="H4515" t="str">
        <f t="shared" si="597"/>
        <v>스토리위즈</v>
      </c>
      <c r="I4515" t="str">
        <f t="shared" si="595"/>
        <v>성군이십니다</v>
      </c>
      <c r="J4515">
        <v>100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21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21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T4515" t="str">
        <f t="shared" si="596"/>
        <v>9791159287565</v>
      </c>
      <c r="AV4515" t="str">
        <f t="shared" si="598"/>
        <v>판타지 웹소설 &gt; 퓨전 판타지</v>
      </c>
    </row>
    <row r="4516" spans="1:48" x14ac:dyDescent="0.4">
      <c r="A4516">
        <v>2313005164</v>
      </c>
      <c r="B4516">
        <v>2313005191</v>
      </c>
      <c r="C4516" t="str">
        <f>T("성군이십니다 28화")</f>
        <v>성군이십니다 28화</v>
      </c>
      <c r="D4516" t="str">
        <f>T("28")</f>
        <v>28</v>
      </c>
      <c r="E4516" t="str">
        <f t="shared" si="594"/>
        <v>이준영</v>
      </c>
      <c r="H4516" t="str">
        <f t="shared" si="597"/>
        <v>스토리위즈</v>
      </c>
      <c r="I4516" t="str">
        <f t="shared" si="595"/>
        <v>성군이십니다</v>
      </c>
      <c r="J4516">
        <v>100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19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19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T4516" t="str">
        <f t="shared" si="596"/>
        <v>9791159287565</v>
      </c>
      <c r="AV4516" t="str">
        <f t="shared" si="598"/>
        <v>판타지 웹소설 &gt; 퓨전 판타지</v>
      </c>
    </row>
    <row r="4517" spans="1:48" x14ac:dyDescent="0.4">
      <c r="A4517">
        <v>2313005164</v>
      </c>
      <c r="B4517">
        <v>2313005192</v>
      </c>
      <c r="C4517" t="str">
        <f>T("성군이십니다 29화")</f>
        <v>성군이십니다 29화</v>
      </c>
      <c r="D4517" t="str">
        <f>T("29")</f>
        <v>29</v>
      </c>
      <c r="E4517" t="str">
        <f t="shared" si="594"/>
        <v>이준영</v>
      </c>
      <c r="H4517" t="str">
        <f t="shared" si="597"/>
        <v>스토리위즈</v>
      </c>
      <c r="I4517" t="str">
        <f t="shared" si="595"/>
        <v>성군이십니다</v>
      </c>
      <c r="J4517">
        <v>100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19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19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T4517" t="str">
        <f t="shared" si="596"/>
        <v>9791159287565</v>
      </c>
      <c r="AV4517" t="str">
        <f t="shared" si="598"/>
        <v>판타지 웹소설 &gt; 퓨전 판타지</v>
      </c>
    </row>
    <row r="4518" spans="1:48" x14ac:dyDescent="0.4">
      <c r="A4518">
        <v>2313005164</v>
      </c>
      <c r="B4518">
        <v>2313005193</v>
      </c>
      <c r="C4518" t="str">
        <f>T("성군이십니다 30화")</f>
        <v>성군이십니다 30화</v>
      </c>
      <c r="D4518" t="str">
        <f>T("30")</f>
        <v>30</v>
      </c>
      <c r="E4518" t="str">
        <f t="shared" si="594"/>
        <v>이준영</v>
      </c>
      <c r="H4518" t="str">
        <f t="shared" si="597"/>
        <v>스토리위즈</v>
      </c>
      <c r="I4518" t="str">
        <f t="shared" si="595"/>
        <v>성군이십니다</v>
      </c>
      <c r="J4518">
        <v>100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19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19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T4518" t="str">
        <f t="shared" si="596"/>
        <v>9791159287565</v>
      </c>
      <c r="AV4518" t="str">
        <f t="shared" si="598"/>
        <v>판타지 웹소설 &gt; 퓨전 판타지</v>
      </c>
    </row>
    <row r="4519" spans="1:48" x14ac:dyDescent="0.4">
      <c r="A4519">
        <v>2313005164</v>
      </c>
      <c r="B4519">
        <v>2313005194</v>
      </c>
      <c r="C4519" t="str">
        <f>T("성군이십니다 31화")</f>
        <v>성군이십니다 31화</v>
      </c>
      <c r="D4519" t="str">
        <f>T("31")</f>
        <v>31</v>
      </c>
      <c r="E4519" t="str">
        <f t="shared" si="594"/>
        <v>이준영</v>
      </c>
      <c r="H4519" t="str">
        <f t="shared" si="597"/>
        <v>스토리위즈</v>
      </c>
      <c r="I4519" t="str">
        <f t="shared" si="595"/>
        <v>성군이십니다</v>
      </c>
      <c r="J4519">
        <v>100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19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19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T4519" t="str">
        <f t="shared" si="596"/>
        <v>9791159287565</v>
      </c>
      <c r="AV4519" t="str">
        <f t="shared" si="598"/>
        <v>판타지 웹소설 &gt; 퓨전 판타지</v>
      </c>
    </row>
    <row r="4520" spans="1:48" x14ac:dyDescent="0.4">
      <c r="A4520">
        <v>2313005164</v>
      </c>
      <c r="B4520">
        <v>2313005195</v>
      </c>
      <c r="C4520" t="str">
        <f>T("성군이십니다 32화")</f>
        <v>성군이십니다 32화</v>
      </c>
      <c r="D4520" t="str">
        <f>T("32")</f>
        <v>32</v>
      </c>
      <c r="E4520" t="str">
        <f t="shared" si="594"/>
        <v>이준영</v>
      </c>
      <c r="H4520" t="str">
        <f t="shared" si="597"/>
        <v>스토리위즈</v>
      </c>
      <c r="I4520" t="str">
        <f t="shared" si="595"/>
        <v>성군이십니다</v>
      </c>
      <c r="J4520">
        <v>100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19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19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T4520" t="str">
        <f t="shared" si="596"/>
        <v>9791159287565</v>
      </c>
      <c r="AV4520" t="str">
        <f t="shared" si="598"/>
        <v>판타지 웹소설 &gt; 퓨전 판타지</v>
      </c>
    </row>
    <row r="4521" spans="1:48" x14ac:dyDescent="0.4">
      <c r="A4521">
        <v>2313005164</v>
      </c>
      <c r="B4521">
        <v>2313005196</v>
      </c>
      <c r="C4521" t="str">
        <f>T("성군이십니다 33화")</f>
        <v>성군이십니다 33화</v>
      </c>
      <c r="D4521" t="str">
        <f>T("33")</f>
        <v>33</v>
      </c>
      <c r="E4521" t="str">
        <f t="shared" si="594"/>
        <v>이준영</v>
      </c>
      <c r="H4521" t="str">
        <f t="shared" si="597"/>
        <v>스토리위즈</v>
      </c>
      <c r="I4521" t="str">
        <f t="shared" si="595"/>
        <v>성군이십니다</v>
      </c>
      <c r="J4521">
        <v>100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19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19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T4521" t="str">
        <f t="shared" si="596"/>
        <v>9791159287565</v>
      </c>
      <c r="AV4521" t="str">
        <f t="shared" si="598"/>
        <v>판타지 웹소설 &gt; 퓨전 판타지</v>
      </c>
    </row>
    <row r="4522" spans="1:48" x14ac:dyDescent="0.4">
      <c r="A4522">
        <v>2313005164</v>
      </c>
      <c r="B4522">
        <v>2313005197</v>
      </c>
      <c r="C4522" t="str">
        <f>T("성군이십니다 34화")</f>
        <v>성군이십니다 34화</v>
      </c>
      <c r="D4522" t="str">
        <f>T("34")</f>
        <v>34</v>
      </c>
      <c r="E4522" t="str">
        <f t="shared" si="594"/>
        <v>이준영</v>
      </c>
      <c r="H4522" t="str">
        <f t="shared" si="597"/>
        <v>스토리위즈</v>
      </c>
      <c r="I4522" t="str">
        <f t="shared" si="595"/>
        <v>성군이십니다</v>
      </c>
      <c r="J4522">
        <v>100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19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19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T4522" t="str">
        <f t="shared" si="596"/>
        <v>9791159287565</v>
      </c>
      <c r="AV4522" t="str">
        <f t="shared" si="598"/>
        <v>판타지 웹소설 &gt; 퓨전 판타지</v>
      </c>
    </row>
    <row r="4523" spans="1:48" x14ac:dyDescent="0.4">
      <c r="A4523">
        <v>2313005164</v>
      </c>
      <c r="B4523">
        <v>2313005198</v>
      </c>
      <c r="C4523" t="str">
        <f>T("성군이십니다 35화")</f>
        <v>성군이십니다 35화</v>
      </c>
      <c r="D4523" t="str">
        <f>T("35")</f>
        <v>35</v>
      </c>
      <c r="E4523" t="str">
        <f t="shared" si="594"/>
        <v>이준영</v>
      </c>
      <c r="H4523" t="str">
        <f t="shared" si="597"/>
        <v>스토리위즈</v>
      </c>
      <c r="I4523" t="str">
        <f t="shared" si="595"/>
        <v>성군이십니다</v>
      </c>
      <c r="J4523">
        <v>100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19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19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T4523" t="str">
        <f t="shared" si="596"/>
        <v>9791159287565</v>
      </c>
      <c r="AV4523" t="str">
        <f t="shared" si="598"/>
        <v>판타지 웹소설 &gt; 퓨전 판타지</v>
      </c>
    </row>
    <row r="4524" spans="1:48" x14ac:dyDescent="0.4">
      <c r="A4524">
        <v>2313005164</v>
      </c>
      <c r="B4524">
        <v>2313005199</v>
      </c>
      <c r="C4524" t="str">
        <f>T("성군이십니다 36화")</f>
        <v>성군이십니다 36화</v>
      </c>
      <c r="D4524" t="str">
        <f>T("36")</f>
        <v>36</v>
      </c>
      <c r="E4524" t="str">
        <f t="shared" si="594"/>
        <v>이준영</v>
      </c>
      <c r="H4524" t="str">
        <f t="shared" si="597"/>
        <v>스토리위즈</v>
      </c>
      <c r="I4524" t="str">
        <f t="shared" si="595"/>
        <v>성군이십니다</v>
      </c>
      <c r="J4524">
        <v>100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18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18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T4524" t="str">
        <f t="shared" si="596"/>
        <v>9791159287565</v>
      </c>
      <c r="AV4524" t="str">
        <f t="shared" si="598"/>
        <v>판타지 웹소설 &gt; 퓨전 판타지</v>
      </c>
    </row>
    <row r="4525" spans="1:48" x14ac:dyDescent="0.4">
      <c r="A4525">
        <v>2313005164</v>
      </c>
      <c r="B4525">
        <v>2313005200</v>
      </c>
      <c r="C4525" t="str">
        <f>T("성군이십니다 37화")</f>
        <v>성군이십니다 37화</v>
      </c>
      <c r="D4525" t="str">
        <f>T("37")</f>
        <v>37</v>
      </c>
      <c r="E4525" t="str">
        <f t="shared" si="594"/>
        <v>이준영</v>
      </c>
      <c r="H4525" t="str">
        <f t="shared" si="597"/>
        <v>스토리위즈</v>
      </c>
      <c r="I4525" t="str">
        <f t="shared" si="595"/>
        <v>성군이십니다</v>
      </c>
      <c r="J4525">
        <v>100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18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18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T4525" t="str">
        <f t="shared" si="596"/>
        <v>9791159287565</v>
      </c>
      <c r="AV4525" t="str">
        <f t="shared" si="598"/>
        <v>판타지 웹소설 &gt; 퓨전 판타지</v>
      </c>
    </row>
    <row r="4526" spans="1:48" x14ac:dyDescent="0.4">
      <c r="A4526">
        <v>2313005164</v>
      </c>
      <c r="B4526">
        <v>2313005201</v>
      </c>
      <c r="C4526" t="str">
        <f>T("성군이십니다 38화")</f>
        <v>성군이십니다 38화</v>
      </c>
      <c r="D4526" t="str">
        <f>T("38")</f>
        <v>38</v>
      </c>
      <c r="E4526" t="str">
        <f t="shared" si="594"/>
        <v>이준영</v>
      </c>
      <c r="H4526" t="str">
        <f t="shared" si="597"/>
        <v>스토리위즈</v>
      </c>
      <c r="I4526" t="str">
        <f t="shared" si="595"/>
        <v>성군이십니다</v>
      </c>
      <c r="J4526">
        <v>100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18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18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T4526" t="str">
        <f t="shared" si="596"/>
        <v>9791159287565</v>
      </c>
      <c r="AV4526" t="str">
        <f t="shared" si="598"/>
        <v>판타지 웹소설 &gt; 퓨전 판타지</v>
      </c>
    </row>
    <row r="4527" spans="1:48" x14ac:dyDescent="0.4">
      <c r="A4527">
        <v>2313005164</v>
      </c>
      <c r="B4527">
        <v>2313005202</v>
      </c>
      <c r="C4527" t="str">
        <f>T("성군이십니다 39화")</f>
        <v>성군이십니다 39화</v>
      </c>
      <c r="D4527" t="str">
        <f>T("39")</f>
        <v>39</v>
      </c>
      <c r="E4527" t="str">
        <f t="shared" si="594"/>
        <v>이준영</v>
      </c>
      <c r="H4527" t="str">
        <f t="shared" si="597"/>
        <v>스토리위즈</v>
      </c>
      <c r="I4527" t="str">
        <f t="shared" si="595"/>
        <v>성군이십니다</v>
      </c>
      <c r="J4527">
        <v>100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17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17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T4527" t="str">
        <f t="shared" si="596"/>
        <v>9791159287565</v>
      </c>
      <c r="AV4527" t="str">
        <f t="shared" si="598"/>
        <v>판타지 웹소설 &gt; 퓨전 판타지</v>
      </c>
    </row>
    <row r="4528" spans="1:48" x14ac:dyDescent="0.4">
      <c r="A4528">
        <v>2313005164</v>
      </c>
      <c r="B4528">
        <v>2313005203</v>
      </c>
      <c r="C4528" t="str">
        <f>T("성군이십니다 40화")</f>
        <v>성군이십니다 40화</v>
      </c>
      <c r="D4528" t="str">
        <f>T("40")</f>
        <v>40</v>
      </c>
      <c r="E4528" t="str">
        <f t="shared" si="594"/>
        <v>이준영</v>
      </c>
      <c r="H4528" t="str">
        <f t="shared" si="597"/>
        <v>스토리위즈</v>
      </c>
      <c r="I4528" t="str">
        <f t="shared" si="595"/>
        <v>성군이십니다</v>
      </c>
      <c r="J4528">
        <v>100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17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17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T4528" t="str">
        <f t="shared" si="596"/>
        <v>9791159287565</v>
      </c>
      <c r="AV4528" t="str">
        <f t="shared" si="598"/>
        <v>판타지 웹소설 &gt; 퓨전 판타지</v>
      </c>
    </row>
    <row r="4529" spans="1:48" x14ac:dyDescent="0.4">
      <c r="A4529">
        <v>2313005164</v>
      </c>
      <c r="B4529">
        <v>2313005204</v>
      </c>
      <c r="C4529" t="str">
        <f>T("성군이십니다 41화")</f>
        <v>성군이십니다 41화</v>
      </c>
      <c r="D4529" t="str">
        <f>T("41")</f>
        <v>41</v>
      </c>
      <c r="E4529" t="str">
        <f t="shared" si="594"/>
        <v>이준영</v>
      </c>
      <c r="H4529" t="str">
        <f t="shared" si="597"/>
        <v>스토리위즈</v>
      </c>
      <c r="I4529" t="str">
        <f t="shared" si="595"/>
        <v>성군이십니다</v>
      </c>
      <c r="J4529">
        <v>100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17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17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T4529" t="str">
        <f t="shared" si="596"/>
        <v>9791159287565</v>
      </c>
      <c r="AV4529" t="str">
        <f t="shared" si="598"/>
        <v>판타지 웹소설 &gt; 퓨전 판타지</v>
      </c>
    </row>
    <row r="4530" spans="1:48" x14ac:dyDescent="0.4">
      <c r="A4530">
        <v>2313005164</v>
      </c>
      <c r="B4530">
        <v>2313005205</v>
      </c>
      <c r="C4530" t="str">
        <f>T("성군이십니다 42화")</f>
        <v>성군이십니다 42화</v>
      </c>
      <c r="D4530" t="str">
        <f>T("42")</f>
        <v>42</v>
      </c>
      <c r="E4530" t="str">
        <f t="shared" si="594"/>
        <v>이준영</v>
      </c>
      <c r="H4530" t="str">
        <f t="shared" si="597"/>
        <v>스토리위즈</v>
      </c>
      <c r="I4530" t="str">
        <f t="shared" si="595"/>
        <v>성군이십니다</v>
      </c>
      <c r="J4530">
        <v>100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17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17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T4530" t="str">
        <f t="shared" si="596"/>
        <v>9791159287565</v>
      </c>
      <c r="AV4530" t="str">
        <f t="shared" si="598"/>
        <v>판타지 웹소설 &gt; 퓨전 판타지</v>
      </c>
    </row>
    <row r="4531" spans="1:48" x14ac:dyDescent="0.4">
      <c r="A4531">
        <v>2313005164</v>
      </c>
      <c r="B4531">
        <v>2313005206</v>
      </c>
      <c r="C4531" t="str">
        <f>T("성군이십니다 43화")</f>
        <v>성군이십니다 43화</v>
      </c>
      <c r="D4531" t="str">
        <f>T("43")</f>
        <v>43</v>
      </c>
      <c r="E4531" t="str">
        <f t="shared" si="594"/>
        <v>이준영</v>
      </c>
      <c r="H4531" t="str">
        <f t="shared" si="597"/>
        <v>스토리위즈</v>
      </c>
      <c r="I4531" t="str">
        <f t="shared" si="595"/>
        <v>성군이십니다</v>
      </c>
      <c r="J4531">
        <v>100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17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17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T4531" t="str">
        <f t="shared" si="596"/>
        <v>9791159287565</v>
      </c>
      <c r="AV4531" t="str">
        <f t="shared" si="598"/>
        <v>판타지 웹소설 &gt; 퓨전 판타지</v>
      </c>
    </row>
    <row r="4532" spans="1:48" x14ac:dyDescent="0.4">
      <c r="A4532">
        <v>2313005164</v>
      </c>
      <c r="B4532">
        <v>2313005207</v>
      </c>
      <c r="C4532" t="str">
        <f>T("성군이십니다 44화")</f>
        <v>성군이십니다 44화</v>
      </c>
      <c r="D4532" t="str">
        <f>T("44")</f>
        <v>44</v>
      </c>
      <c r="E4532" t="str">
        <f t="shared" si="594"/>
        <v>이준영</v>
      </c>
      <c r="H4532" t="str">
        <f t="shared" si="597"/>
        <v>스토리위즈</v>
      </c>
      <c r="I4532" t="str">
        <f t="shared" si="595"/>
        <v>성군이십니다</v>
      </c>
      <c r="J4532">
        <v>100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17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17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T4532" t="str">
        <f t="shared" si="596"/>
        <v>9791159287565</v>
      </c>
      <c r="AV4532" t="str">
        <f t="shared" si="598"/>
        <v>판타지 웹소설 &gt; 퓨전 판타지</v>
      </c>
    </row>
    <row r="4533" spans="1:48" x14ac:dyDescent="0.4">
      <c r="A4533">
        <v>2313005164</v>
      </c>
      <c r="B4533">
        <v>2313005208</v>
      </c>
      <c r="C4533" t="str">
        <f>T("성군이십니다 45화")</f>
        <v>성군이십니다 45화</v>
      </c>
      <c r="D4533" t="str">
        <f>T("45")</f>
        <v>45</v>
      </c>
      <c r="E4533" t="str">
        <f t="shared" si="594"/>
        <v>이준영</v>
      </c>
      <c r="H4533" t="str">
        <f t="shared" si="597"/>
        <v>스토리위즈</v>
      </c>
      <c r="I4533" t="str">
        <f t="shared" si="595"/>
        <v>성군이십니다</v>
      </c>
      <c r="J4533">
        <v>100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17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17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T4533" t="str">
        <f t="shared" si="596"/>
        <v>9791159287565</v>
      </c>
      <c r="AV4533" t="str">
        <f t="shared" si="598"/>
        <v>판타지 웹소설 &gt; 퓨전 판타지</v>
      </c>
    </row>
    <row r="4534" spans="1:48" x14ac:dyDescent="0.4">
      <c r="A4534">
        <v>2313005164</v>
      </c>
      <c r="B4534">
        <v>2313005209</v>
      </c>
      <c r="C4534" t="str">
        <f>T("성군이십니다 46화")</f>
        <v>성군이십니다 46화</v>
      </c>
      <c r="D4534" t="str">
        <f>T("46")</f>
        <v>46</v>
      </c>
      <c r="E4534" t="str">
        <f t="shared" si="594"/>
        <v>이준영</v>
      </c>
      <c r="H4534" t="str">
        <f t="shared" si="597"/>
        <v>스토리위즈</v>
      </c>
      <c r="I4534" t="str">
        <f t="shared" si="595"/>
        <v>성군이십니다</v>
      </c>
      <c r="J4534">
        <v>100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17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17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T4534" t="str">
        <f t="shared" si="596"/>
        <v>9791159287565</v>
      </c>
      <c r="AV4534" t="str">
        <f t="shared" si="598"/>
        <v>판타지 웹소설 &gt; 퓨전 판타지</v>
      </c>
    </row>
    <row r="4535" spans="1:48" x14ac:dyDescent="0.4">
      <c r="A4535">
        <v>2313005164</v>
      </c>
      <c r="B4535">
        <v>2313005210</v>
      </c>
      <c r="C4535" t="str">
        <f>T("성군이십니다 47화")</f>
        <v>성군이십니다 47화</v>
      </c>
      <c r="D4535" t="str">
        <f>T("47")</f>
        <v>47</v>
      </c>
      <c r="E4535" t="str">
        <f t="shared" si="594"/>
        <v>이준영</v>
      </c>
      <c r="H4535" t="str">
        <f t="shared" si="597"/>
        <v>스토리위즈</v>
      </c>
      <c r="I4535" t="str">
        <f t="shared" si="595"/>
        <v>성군이십니다</v>
      </c>
      <c r="J4535">
        <v>100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17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17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T4535" t="str">
        <f t="shared" si="596"/>
        <v>9791159287565</v>
      </c>
      <c r="AV4535" t="str">
        <f t="shared" si="598"/>
        <v>판타지 웹소설 &gt; 퓨전 판타지</v>
      </c>
    </row>
    <row r="4536" spans="1:48" x14ac:dyDescent="0.4">
      <c r="A4536">
        <v>2313005164</v>
      </c>
      <c r="B4536">
        <v>2313005211</v>
      </c>
      <c r="C4536" t="str">
        <f>T("성군이십니다 48화")</f>
        <v>성군이십니다 48화</v>
      </c>
      <c r="D4536" t="str">
        <f>T("48")</f>
        <v>48</v>
      </c>
      <c r="E4536" t="str">
        <f t="shared" si="594"/>
        <v>이준영</v>
      </c>
      <c r="H4536" t="str">
        <f t="shared" si="597"/>
        <v>스토리위즈</v>
      </c>
      <c r="I4536" t="str">
        <f t="shared" si="595"/>
        <v>성군이십니다</v>
      </c>
      <c r="J4536">
        <v>100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17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17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T4536" t="str">
        <f t="shared" si="596"/>
        <v>9791159287565</v>
      </c>
      <c r="AV4536" t="str">
        <f t="shared" si="598"/>
        <v>판타지 웹소설 &gt; 퓨전 판타지</v>
      </c>
    </row>
    <row r="4537" spans="1:48" x14ac:dyDescent="0.4">
      <c r="A4537">
        <v>2313005164</v>
      </c>
      <c r="B4537">
        <v>2313005212</v>
      </c>
      <c r="C4537" t="str">
        <f>T("성군이십니다 49화")</f>
        <v>성군이십니다 49화</v>
      </c>
      <c r="D4537" t="str">
        <f>T("49")</f>
        <v>49</v>
      </c>
      <c r="E4537" t="str">
        <f t="shared" si="594"/>
        <v>이준영</v>
      </c>
      <c r="H4537" t="str">
        <f t="shared" si="597"/>
        <v>스토리위즈</v>
      </c>
      <c r="I4537" t="str">
        <f t="shared" si="595"/>
        <v>성군이십니다</v>
      </c>
      <c r="J4537">
        <v>100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17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17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T4537" t="str">
        <f t="shared" si="596"/>
        <v>9791159287565</v>
      </c>
      <c r="AV4537" t="str">
        <f t="shared" si="598"/>
        <v>판타지 웹소설 &gt; 퓨전 판타지</v>
      </c>
    </row>
    <row r="4538" spans="1:48" x14ac:dyDescent="0.4">
      <c r="A4538">
        <v>2313005164</v>
      </c>
      <c r="B4538">
        <v>2313005213</v>
      </c>
      <c r="C4538" t="str">
        <f>T("성군이십니다 50화")</f>
        <v>성군이십니다 50화</v>
      </c>
      <c r="D4538" t="str">
        <f>T("50")</f>
        <v>50</v>
      </c>
      <c r="E4538" t="str">
        <f t="shared" si="594"/>
        <v>이준영</v>
      </c>
      <c r="H4538" t="str">
        <f t="shared" si="597"/>
        <v>스토리위즈</v>
      </c>
      <c r="I4538" t="str">
        <f t="shared" si="595"/>
        <v>성군이십니다</v>
      </c>
      <c r="J4538">
        <v>100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22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22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T4538" t="str">
        <f t="shared" si="596"/>
        <v>9791159287565</v>
      </c>
      <c r="AV4538" t="str">
        <f t="shared" si="598"/>
        <v>판타지 웹소설 &gt; 퓨전 판타지</v>
      </c>
    </row>
    <row r="4539" spans="1:48" x14ac:dyDescent="0.4">
      <c r="A4539">
        <v>2313005704</v>
      </c>
      <c r="B4539">
        <v>2313005704</v>
      </c>
      <c r="C4539" t="str">
        <f>T("[e북]나 혼자만 일일 보상 1권")</f>
        <v>[e북]나 혼자만 일일 보상 1권</v>
      </c>
      <c r="D4539" t="str">
        <f>T("1")</f>
        <v>1</v>
      </c>
      <c r="E4539" t="str">
        <f t="shared" ref="E4539:E4545" si="599">T("이동열")</f>
        <v>이동열</v>
      </c>
      <c r="H4539" t="str">
        <f t="shared" si="597"/>
        <v>스토리위즈</v>
      </c>
      <c r="I4539" t="str">
        <f t="shared" ref="I4539:I4545" si="600">T("[e북]나 혼자만 일일 보상")</f>
        <v>[e북]나 혼자만 일일 보상</v>
      </c>
      <c r="J4539">
        <v>0</v>
      </c>
      <c r="K4539">
        <v>0</v>
      </c>
      <c r="L4539">
        <v>0</v>
      </c>
      <c r="M4539">
        <v>26</v>
      </c>
      <c r="N4539">
        <v>0</v>
      </c>
      <c r="O4539">
        <v>0</v>
      </c>
      <c r="P4539">
        <v>15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41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T4539" t="str">
        <f>T("9791159289576")</f>
        <v>9791159289576</v>
      </c>
      <c r="AV4539" t="str">
        <f t="shared" ref="AV4539:AV4545" si="601">T("판타지 e북 &gt; 퓨전 판타지")</f>
        <v>판타지 e북 &gt; 퓨전 판타지</v>
      </c>
    </row>
    <row r="4540" spans="1:48" x14ac:dyDescent="0.4">
      <c r="A4540">
        <v>2313005704</v>
      </c>
      <c r="B4540">
        <v>2313005708</v>
      </c>
      <c r="C4540" t="str">
        <f>T("[e북]나 혼자만 일일 보상 5권")</f>
        <v>[e북]나 혼자만 일일 보상 5권</v>
      </c>
      <c r="D4540" t="str">
        <f>T("5")</f>
        <v>5</v>
      </c>
      <c r="E4540" t="str">
        <f t="shared" si="599"/>
        <v>이동열</v>
      </c>
      <c r="H4540" t="str">
        <f t="shared" si="597"/>
        <v>스토리위즈</v>
      </c>
      <c r="I4540" t="str">
        <f t="shared" si="600"/>
        <v>[e북]나 혼자만 일일 보상</v>
      </c>
      <c r="J4540">
        <v>3200</v>
      </c>
      <c r="K4540">
        <v>0</v>
      </c>
      <c r="L4540">
        <v>0</v>
      </c>
      <c r="M4540">
        <v>0</v>
      </c>
      <c r="N4540">
        <v>9270</v>
      </c>
      <c r="O4540">
        <v>13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9270</v>
      </c>
      <c r="AH4540">
        <v>13</v>
      </c>
      <c r="AI4540">
        <v>0</v>
      </c>
      <c r="AJ4540">
        <v>0</v>
      </c>
      <c r="AK4540">
        <v>9270</v>
      </c>
      <c r="AL4540">
        <v>0</v>
      </c>
      <c r="AM4540">
        <v>0</v>
      </c>
      <c r="AN4540">
        <v>0</v>
      </c>
      <c r="AO4540">
        <v>0</v>
      </c>
      <c r="AP4540">
        <v>6489</v>
      </c>
      <c r="AT4540" t="str">
        <f>T("9791159289613")</f>
        <v>9791159289613</v>
      </c>
      <c r="AV4540" t="str">
        <f t="shared" si="601"/>
        <v>판타지 e북 &gt; 퓨전 판타지</v>
      </c>
    </row>
    <row r="4541" spans="1:48" x14ac:dyDescent="0.4">
      <c r="A4541">
        <v>2313005704</v>
      </c>
      <c r="B4541">
        <v>2313005709</v>
      </c>
      <c r="C4541" t="str">
        <f>T("[e북]나 혼자만 일일 보상 6권")</f>
        <v>[e북]나 혼자만 일일 보상 6권</v>
      </c>
      <c r="D4541" t="str">
        <f>T("6")</f>
        <v>6</v>
      </c>
      <c r="E4541" t="str">
        <f t="shared" si="599"/>
        <v>이동열</v>
      </c>
      <c r="H4541" t="str">
        <f t="shared" si="597"/>
        <v>스토리위즈</v>
      </c>
      <c r="I4541" t="str">
        <f t="shared" si="600"/>
        <v>[e북]나 혼자만 일일 보상</v>
      </c>
      <c r="J4541">
        <v>3200</v>
      </c>
      <c r="K4541">
        <v>0</v>
      </c>
      <c r="L4541">
        <v>0</v>
      </c>
      <c r="M4541">
        <v>0</v>
      </c>
      <c r="N4541">
        <v>7470</v>
      </c>
      <c r="O4541">
        <v>11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7470</v>
      </c>
      <c r="AH4541">
        <v>11</v>
      </c>
      <c r="AI4541">
        <v>0</v>
      </c>
      <c r="AJ4541">
        <v>0</v>
      </c>
      <c r="AK4541">
        <v>7470</v>
      </c>
      <c r="AL4541">
        <v>0</v>
      </c>
      <c r="AM4541">
        <v>0</v>
      </c>
      <c r="AN4541">
        <v>0</v>
      </c>
      <c r="AO4541">
        <v>0</v>
      </c>
      <c r="AP4541">
        <v>5229</v>
      </c>
      <c r="AT4541" t="str">
        <f>T("9791159289620")</f>
        <v>9791159289620</v>
      </c>
      <c r="AV4541" t="str">
        <f t="shared" si="601"/>
        <v>판타지 e북 &gt; 퓨전 판타지</v>
      </c>
    </row>
    <row r="4542" spans="1:48" x14ac:dyDescent="0.4">
      <c r="A4542">
        <v>2313005704</v>
      </c>
      <c r="B4542">
        <v>2313005710</v>
      </c>
      <c r="C4542" t="str">
        <f>T("[e북]나 혼자만 일일 보상 7권")</f>
        <v>[e북]나 혼자만 일일 보상 7권</v>
      </c>
      <c r="D4542" t="str">
        <f>T("7")</f>
        <v>7</v>
      </c>
      <c r="E4542" t="str">
        <f t="shared" si="599"/>
        <v>이동열</v>
      </c>
      <c r="H4542" t="str">
        <f t="shared" si="597"/>
        <v>스토리위즈</v>
      </c>
      <c r="I4542" t="str">
        <f t="shared" si="600"/>
        <v>[e북]나 혼자만 일일 보상</v>
      </c>
      <c r="J4542">
        <v>3200</v>
      </c>
      <c r="K4542">
        <v>0</v>
      </c>
      <c r="L4542">
        <v>0</v>
      </c>
      <c r="M4542">
        <v>0</v>
      </c>
      <c r="N4542">
        <v>5670</v>
      </c>
      <c r="O4542">
        <v>9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5670</v>
      </c>
      <c r="AH4542">
        <v>9</v>
      </c>
      <c r="AI4542">
        <v>0</v>
      </c>
      <c r="AJ4542">
        <v>0</v>
      </c>
      <c r="AK4542">
        <v>5670</v>
      </c>
      <c r="AL4542">
        <v>0</v>
      </c>
      <c r="AM4542">
        <v>0</v>
      </c>
      <c r="AN4542">
        <v>0</v>
      </c>
      <c r="AO4542">
        <v>0</v>
      </c>
      <c r="AP4542">
        <v>3969</v>
      </c>
      <c r="AT4542" t="str">
        <f>T("9791159289637")</f>
        <v>9791159289637</v>
      </c>
      <c r="AV4542" t="str">
        <f t="shared" si="601"/>
        <v>판타지 e북 &gt; 퓨전 판타지</v>
      </c>
    </row>
    <row r="4543" spans="1:48" x14ac:dyDescent="0.4">
      <c r="A4543">
        <v>2313005704</v>
      </c>
      <c r="B4543">
        <v>2313005711</v>
      </c>
      <c r="C4543" t="str">
        <f>T("[e북]나 혼자만 일일 보상 8권")</f>
        <v>[e북]나 혼자만 일일 보상 8권</v>
      </c>
      <c r="D4543" t="str">
        <f>T("8")</f>
        <v>8</v>
      </c>
      <c r="E4543" t="str">
        <f t="shared" si="599"/>
        <v>이동열</v>
      </c>
      <c r="H4543" t="str">
        <f t="shared" si="597"/>
        <v>스토리위즈</v>
      </c>
      <c r="I4543" t="str">
        <f t="shared" si="600"/>
        <v>[e북]나 혼자만 일일 보상</v>
      </c>
      <c r="J4543">
        <v>3200</v>
      </c>
      <c r="K4543">
        <v>0</v>
      </c>
      <c r="L4543">
        <v>0</v>
      </c>
      <c r="M4543">
        <v>0</v>
      </c>
      <c r="N4543">
        <v>5670</v>
      </c>
      <c r="O4543">
        <v>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5670</v>
      </c>
      <c r="AH4543">
        <v>9</v>
      </c>
      <c r="AI4543">
        <v>0</v>
      </c>
      <c r="AJ4543">
        <v>0</v>
      </c>
      <c r="AK4543">
        <v>5670</v>
      </c>
      <c r="AL4543">
        <v>0</v>
      </c>
      <c r="AM4543">
        <v>0</v>
      </c>
      <c r="AN4543">
        <v>0</v>
      </c>
      <c r="AO4543">
        <v>0</v>
      </c>
      <c r="AP4543">
        <v>3969</v>
      </c>
      <c r="AT4543" t="str">
        <f>T("9791159289644")</f>
        <v>9791159289644</v>
      </c>
      <c r="AV4543" t="str">
        <f t="shared" si="601"/>
        <v>판타지 e북 &gt; 퓨전 판타지</v>
      </c>
    </row>
    <row r="4544" spans="1:48" x14ac:dyDescent="0.4">
      <c r="A4544">
        <v>2313005704</v>
      </c>
      <c r="B4544">
        <v>2313005712</v>
      </c>
      <c r="C4544" t="str">
        <f>T("[e북]나 혼자만 일일 보상 9권")</f>
        <v>[e북]나 혼자만 일일 보상 9권</v>
      </c>
      <c r="D4544" t="str">
        <f>T("9")</f>
        <v>9</v>
      </c>
      <c r="E4544" t="str">
        <f t="shared" si="599"/>
        <v>이동열</v>
      </c>
      <c r="H4544" t="str">
        <f t="shared" si="597"/>
        <v>스토리위즈</v>
      </c>
      <c r="I4544" t="str">
        <f t="shared" si="600"/>
        <v>[e북]나 혼자만 일일 보상</v>
      </c>
      <c r="J4544">
        <v>3200</v>
      </c>
      <c r="K4544">
        <v>0</v>
      </c>
      <c r="L4544">
        <v>0</v>
      </c>
      <c r="M4544">
        <v>0</v>
      </c>
      <c r="N4544">
        <v>5670</v>
      </c>
      <c r="O4544">
        <v>9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5670</v>
      </c>
      <c r="AH4544">
        <v>9</v>
      </c>
      <c r="AI4544">
        <v>0</v>
      </c>
      <c r="AJ4544">
        <v>0</v>
      </c>
      <c r="AK4544">
        <v>5670</v>
      </c>
      <c r="AL4544">
        <v>0</v>
      </c>
      <c r="AM4544">
        <v>0</v>
      </c>
      <c r="AN4544">
        <v>0</v>
      </c>
      <c r="AO4544">
        <v>0</v>
      </c>
      <c r="AP4544">
        <v>3969</v>
      </c>
      <c r="AT4544" t="str">
        <f>T("9791159289651")</f>
        <v>9791159289651</v>
      </c>
      <c r="AV4544" t="str">
        <f t="shared" si="601"/>
        <v>판타지 e북 &gt; 퓨전 판타지</v>
      </c>
    </row>
    <row r="4545" spans="1:48" x14ac:dyDescent="0.4">
      <c r="A4545">
        <v>2313005704</v>
      </c>
      <c r="B4545">
        <v>2313005713</v>
      </c>
      <c r="C4545" t="str">
        <f>T("[e북]나 혼자만 일일 보상 (외전) (완결)")</f>
        <v>[e북]나 혼자만 일일 보상 (외전) (완결)</v>
      </c>
      <c r="D4545" t="str">
        <f>T("10")</f>
        <v>10</v>
      </c>
      <c r="E4545" t="str">
        <f t="shared" si="599"/>
        <v>이동열</v>
      </c>
      <c r="H4545" t="str">
        <f t="shared" si="597"/>
        <v>스토리위즈</v>
      </c>
      <c r="I4545" t="str">
        <f t="shared" si="600"/>
        <v>[e북]나 혼자만 일일 보상</v>
      </c>
      <c r="J4545">
        <v>3200</v>
      </c>
      <c r="K4545">
        <v>0</v>
      </c>
      <c r="L4545">
        <v>0</v>
      </c>
      <c r="M4545">
        <v>0</v>
      </c>
      <c r="N4545">
        <v>5670</v>
      </c>
      <c r="O4545">
        <v>9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5670</v>
      </c>
      <c r="AH4545">
        <v>9</v>
      </c>
      <c r="AI4545">
        <v>0</v>
      </c>
      <c r="AJ4545">
        <v>0</v>
      </c>
      <c r="AK4545">
        <v>5670</v>
      </c>
      <c r="AL4545">
        <v>0</v>
      </c>
      <c r="AM4545">
        <v>0</v>
      </c>
      <c r="AN4545">
        <v>0</v>
      </c>
      <c r="AO4545">
        <v>0</v>
      </c>
      <c r="AP4545">
        <v>3969</v>
      </c>
      <c r="AT4545" t="str">
        <f>T("9791159289668")</f>
        <v>9791159289668</v>
      </c>
      <c r="AV4545" t="str">
        <f t="shared" si="601"/>
        <v>판타지 e북 &gt; 퓨전 판타지</v>
      </c>
    </row>
    <row r="4546" spans="1:48" x14ac:dyDescent="0.4">
      <c r="A4546">
        <v>2313005998</v>
      </c>
      <c r="B4546">
        <v>2313005998</v>
      </c>
      <c r="C4546" t="str">
        <f>T("삼국지 호접몽전 1부 1화")</f>
        <v>삼국지 호접몽전 1부 1화</v>
      </c>
      <c r="D4546" t="str">
        <f>T("1")</f>
        <v>1</v>
      </c>
      <c r="E4546" t="str">
        <f t="shared" ref="E4546:E4564" si="602">T("청빙")</f>
        <v>청빙</v>
      </c>
      <c r="H4546" t="str">
        <f t="shared" si="597"/>
        <v>스토리위즈</v>
      </c>
      <c r="I4546" t="str">
        <f t="shared" ref="I4546:I4564" si="603">T("삼국지 호접몽전")</f>
        <v>삼국지 호접몽전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T4546" t="str">
        <f t="shared" ref="AT4546:AT4564" si="604">T("9791159287794")</f>
        <v>9791159287794</v>
      </c>
      <c r="AV4546" t="str">
        <f t="shared" ref="AV4546:AV4564" si="605">T("판타지 웹소설 &gt; 퓨전 판타지")</f>
        <v>판타지 웹소설 &gt; 퓨전 판타지</v>
      </c>
    </row>
    <row r="4547" spans="1:48" x14ac:dyDescent="0.4">
      <c r="A4547">
        <v>2313005998</v>
      </c>
      <c r="B4547">
        <v>2313005999</v>
      </c>
      <c r="C4547" t="str">
        <f>T("삼국지 호접몽전 1부 2화")</f>
        <v>삼국지 호접몽전 1부 2화</v>
      </c>
      <c r="D4547" t="str">
        <f>T("2")</f>
        <v>2</v>
      </c>
      <c r="E4547" t="str">
        <f t="shared" si="602"/>
        <v>청빙</v>
      </c>
      <c r="H4547" t="str">
        <f t="shared" si="597"/>
        <v>스토리위즈</v>
      </c>
      <c r="I4547" t="str">
        <f t="shared" si="603"/>
        <v>삼국지 호접몽전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T4547" t="str">
        <f t="shared" si="604"/>
        <v>9791159287794</v>
      </c>
      <c r="AV4547" t="str">
        <f t="shared" si="605"/>
        <v>판타지 웹소설 &gt; 퓨전 판타지</v>
      </c>
    </row>
    <row r="4548" spans="1:48" x14ac:dyDescent="0.4">
      <c r="A4548">
        <v>2313005998</v>
      </c>
      <c r="B4548">
        <v>2313006000</v>
      </c>
      <c r="C4548" t="str">
        <f>T("삼국지 호접몽전 1부 3화")</f>
        <v>삼국지 호접몽전 1부 3화</v>
      </c>
      <c r="D4548" t="str">
        <f>T("3")</f>
        <v>3</v>
      </c>
      <c r="E4548" t="str">
        <f t="shared" si="602"/>
        <v>청빙</v>
      </c>
      <c r="H4548" t="str">
        <f t="shared" si="597"/>
        <v>스토리위즈</v>
      </c>
      <c r="I4548" t="str">
        <f t="shared" si="603"/>
        <v>삼국지 호접몽전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T4548" t="str">
        <f t="shared" si="604"/>
        <v>9791159287794</v>
      </c>
      <c r="AV4548" t="str">
        <f t="shared" si="605"/>
        <v>판타지 웹소설 &gt; 퓨전 판타지</v>
      </c>
    </row>
    <row r="4549" spans="1:48" x14ac:dyDescent="0.4">
      <c r="A4549">
        <v>2313005998</v>
      </c>
      <c r="B4549">
        <v>2313006001</v>
      </c>
      <c r="C4549" t="str">
        <f>T("삼국지 호접몽전 1부 4화")</f>
        <v>삼국지 호접몽전 1부 4화</v>
      </c>
      <c r="D4549" t="str">
        <f>T("4")</f>
        <v>4</v>
      </c>
      <c r="E4549" t="str">
        <f t="shared" si="602"/>
        <v>청빙</v>
      </c>
      <c r="H4549" t="str">
        <f t="shared" si="597"/>
        <v>스토리위즈</v>
      </c>
      <c r="I4549" t="str">
        <f t="shared" si="603"/>
        <v>삼국지 호접몽전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T4549" t="str">
        <f t="shared" si="604"/>
        <v>9791159287794</v>
      </c>
      <c r="AV4549" t="str">
        <f t="shared" si="605"/>
        <v>판타지 웹소설 &gt; 퓨전 판타지</v>
      </c>
    </row>
    <row r="4550" spans="1:48" x14ac:dyDescent="0.4">
      <c r="A4550">
        <v>2313005998</v>
      </c>
      <c r="B4550">
        <v>2313006002</v>
      </c>
      <c r="C4550" t="str">
        <f>T("삼국지 호접몽전 1부 5화")</f>
        <v>삼국지 호접몽전 1부 5화</v>
      </c>
      <c r="D4550" t="str">
        <f>T("5")</f>
        <v>5</v>
      </c>
      <c r="E4550" t="str">
        <f t="shared" si="602"/>
        <v>청빙</v>
      </c>
      <c r="H4550" t="str">
        <f t="shared" si="597"/>
        <v>스토리위즈</v>
      </c>
      <c r="I4550" t="str">
        <f t="shared" si="603"/>
        <v>삼국지 호접몽전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T4550" t="str">
        <f t="shared" si="604"/>
        <v>9791159287794</v>
      </c>
      <c r="AV4550" t="str">
        <f t="shared" si="605"/>
        <v>판타지 웹소설 &gt; 퓨전 판타지</v>
      </c>
    </row>
    <row r="4551" spans="1:48" x14ac:dyDescent="0.4">
      <c r="A4551">
        <v>2313005998</v>
      </c>
      <c r="B4551">
        <v>2313006003</v>
      </c>
      <c r="C4551" t="str">
        <f>T("삼국지 호접몽전 1부 6화")</f>
        <v>삼국지 호접몽전 1부 6화</v>
      </c>
      <c r="D4551" t="str">
        <f>T("6")</f>
        <v>6</v>
      </c>
      <c r="E4551" t="str">
        <f t="shared" si="602"/>
        <v>청빙</v>
      </c>
      <c r="H4551" t="str">
        <f t="shared" si="597"/>
        <v>스토리위즈</v>
      </c>
      <c r="I4551" t="str">
        <f t="shared" si="603"/>
        <v>삼국지 호접몽전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T4551" t="str">
        <f t="shared" si="604"/>
        <v>9791159287794</v>
      </c>
      <c r="AV4551" t="str">
        <f t="shared" si="605"/>
        <v>판타지 웹소설 &gt; 퓨전 판타지</v>
      </c>
    </row>
    <row r="4552" spans="1:48" x14ac:dyDescent="0.4">
      <c r="A4552">
        <v>2313005998</v>
      </c>
      <c r="B4552">
        <v>2313006004</v>
      </c>
      <c r="C4552" t="str">
        <f>T("삼국지 호접몽전 1부 7화")</f>
        <v>삼국지 호접몽전 1부 7화</v>
      </c>
      <c r="D4552" t="str">
        <f>T("7")</f>
        <v>7</v>
      </c>
      <c r="E4552" t="str">
        <f t="shared" si="602"/>
        <v>청빙</v>
      </c>
      <c r="H4552" t="str">
        <f t="shared" si="597"/>
        <v>스토리위즈</v>
      </c>
      <c r="I4552" t="str">
        <f t="shared" si="603"/>
        <v>삼국지 호접몽전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T4552" t="str">
        <f t="shared" si="604"/>
        <v>9791159287794</v>
      </c>
      <c r="AV4552" t="str">
        <f t="shared" si="605"/>
        <v>판타지 웹소설 &gt; 퓨전 판타지</v>
      </c>
    </row>
    <row r="4553" spans="1:48" x14ac:dyDescent="0.4">
      <c r="A4553">
        <v>2313005998</v>
      </c>
      <c r="B4553">
        <v>2313006005</v>
      </c>
      <c r="C4553" t="str">
        <f>T("삼국지 호접몽전 1부 8화")</f>
        <v>삼국지 호접몽전 1부 8화</v>
      </c>
      <c r="D4553" t="str">
        <f>T("8")</f>
        <v>8</v>
      </c>
      <c r="E4553" t="str">
        <f t="shared" si="602"/>
        <v>청빙</v>
      </c>
      <c r="H4553" t="str">
        <f t="shared" si="597"/>
        <v>스토리위즈</v>
      </c>
      <c r="I4553" t="str">
        <f t="shared" si="603"/>
        <v>삼국지 호접몽전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T4553" t="str">
        <f t="shared" si="604"/>
        <v>9791159287794</v>
      </c>
      <c r="AV4553" t="str">
        <f t="shared" si="605"/>
        <v>판타지 웹소설 &gt; 퓨전 판타지</v>
      </c>
    </row>
    <row r="4554" spans="1:48" x14ac:dyDescent="0.4">
      <c r="A4554">
        <v>2313005998</v>
      </c>
      <c r="B4554">
        <v>2313006006</v>
      </c>
      <c r="C4554" t="str">
        <f>T("삼국지 호접몽전 1부 9화")</f>
        <v>삼국지 호접몽전 1부 9화</v>
      </c>
      <c r="D4554" t="str">
        <f>T("9")</f>
        <v>9</v>
      </c>
      <c r="E4554" t="str">
        <f t="shared" si="602"/>
        <v>청빙</v>
      </c>
      <c r="H4554" t="str">
        <f t="shared" si="597"/>
        <v>스토리위즈</v>
      </c>
      <c r="I4554" t="str">
        <f t="shared" si="603"/>
        <v>삼국지 호접몽전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T4554" t="str">
        <f t="shared" si="604"/>
        <v>9791159287794</v>
      </c>
      <c r="AV4554" t="str">
        <f t="shared" si="605"/>
        <v>판타지 웹소설 &gt; 퓨전 판타지</v>
      </c>
    </row>
    <row r="4555" spans="1:48" x14ac:dyDescent="0.4">
      <c r="A4555">
        <v>2313005998</v>
      </c>
      <c r="B4555">
        <v>2313006007</v>
      </c>
      <c r="C4555" t="str">
        <f>T("삼국지 호접몽전 1부 10화")</f>
        <v>삼국지 호접몽전 1부 10화</v>
      </c>
      <c r="D4555" t="str">
        <f>T("10")</f>
        <v>10</v>
      </c>
      <c r="E4555" t="str">
        <f t="shared" si="602"/>
        <v>청빙</v>
      </c>
      <c r="H4555" t="str">
        <f t="shared" si="597"/>
        <v>스토리위즈</v>
      </c>
      <c r="I4555" t="str">
        <f t="shared" si="603"/>
        <v>삼국지 호접몽전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T4555" t="str">
        <f t="shared" si="604"/>
        <v>9791159287794</v>
      </c>
      <c r="AV4555" t="str">
        <f t="shared" si="605"/>
        <v>판타지 웹소설 &gt; 퓨전 판타지</v>
      </c>
    </row>
    <row r="4556" spans="1:48" x14ac:dyDescent="0.4">
      <c r="A4556">
        <v>2313005998</v>
      </c>
      <c r="B4556">
        <v>2313006008</v>
      </c>
      <c r="C4556" t="str">
        <f>T("삼국지 호접몽전 1부 11화")</f>
        <v>삼국지 호접몽전 1부 11화</v>
      </c>
      <c r="D4556" t="str">
        <f>T("11")</f>
        <v>11</v>
      </c>
      <c r="E4556" t="str">
        <f t="shared" si="602"/>
        <v>청빙</v>
      </c>
      <c r="H4556" t="str">
        <f t="shared" si="597"/>
        <v>스토리위즈</v>
      </c>
      <c r="I4556" t="str">
        <f t="shared" si="603"/>
        <v>삼국지 호접몽전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T4556" t="str">
        <f t="shared" si="604"/>
        <v>9791159287794</v>
      </c>
      <c r="AV4556" t="str">
        <f t="shared" si="605"/>
        <v>판타지 웹소설 &gt; 퓨전 판타지</v>
      </c>
    </row>
    <row r="4557" spans="1:48" x14ac:dyDescent="0.4">
      <c r="A4557">
        <v>2313005998</v>
      </c>
      <c r="B4557">
        <v>2313006009</v>
      </c>
      <c r="C4557" t="str">
        <f>T("삼국지 호접몽전 1부 12화")</f>
        <v>삼국지 호접몽전 1부 12화</v>
      </c>
      <c r="D4557" t="str">
        <f>T("12")</f>
        <v>12</v>
      </c>
      <c r="E4557" t="str">
        <f t="shared" si="602"/>
        <v>청빙</v>
      </c>
      <c r="H4557" t="str">
        <f t="shared" si="597"/>
        <v>스토리위즈</v>
      </c>
      <c r="I4557" t="str">
        <f t="shared" si="603"/>
        <v>삼국지 호접몽전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T4557" t="str">
        <f t="shared" si="604"/>
        <v>9791159287794</v>
      </c>
      <c r="AV4557" t="str">
        <f t="shared" si="605"/>
        <v>판타지 웹소설 &gt; 퓨전 판타지</v>
      </c>
    </row>
    <row r="4558" spans="1:48" x14ac:dyDescent="0.4">
      <c r="A4558">
        <v>2313005998</v>
      </c>
      <c r="B4558">
        <v>2313006010</v>
      </c>
      <c r="C4558" t="str">
        <f>T("삼국지 호접몽전 1부 13화")</f>
        <v>삼국지 호접몽전 1부 13화</v>
      </c>
      <c r="D4558" t="str">
        <f>T("13")</f>
        <v>13</v>
      </c>
      <c r="E4558" t="str">
        <f t="shared" si="602"/>
        <v>청빙</v>
      </c>
      <c r="H4558" t="str">
        <f t="shared" si="597"/>
        <v>스토리위즈</v>
      </c>
      <c r="I4558" t="str">
        <f t="shared" si="603"/>
        <v>삼국지 호접몽전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T4558" t="str">
        <f t="shared" si="604"/>
        <v>9791159287794</v>
      </c>
      <c r="AV4558" t="str">
        <f t="shared" si="605"/>
        <v>판타지 웹소설 &gt; 퓨전 판타지</v>
      </c>
    </row>
    <row r="4559" spans="1:48" x14ac:dyDescent="0.4">
      <c r="A4559">
        <v>2313005998</v>
      </c>
      <c r="B4559">
        <v>2313006011</v>
      </c>
      <c r="C4559" t="str">
        <f>T("삼국지 호접몽전 1부 14화")</f>
        <v>삼국지 호접몽전 1부 14화</v>
      </c>
      <c r="D4559" t="str">
        <f>T("14")</f>
        <v>14</v>
      </c>
      <c r="E4559" t="str">
        <f t="shared" si="602"/>
        <v>청빙</v>
      </c>
      <c r="H4559" t="str">
        <f t="shared" si="597"/>
        <v>스토리위즈</v>
      </c>
      <c r="I4559" t="str">
        <f t="shared" si="603"/>
        <v>삼국지 호접몽전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T4559" t="str">
        <f t="shared" si="604"/>
        <v>9791159287794</v>
      </c>
      <c r="AV4559" t="str">
        <f t="shared" si="605"/>
        <v>판타지 웹소설 &gt; 퓨전 판타지</v>
      </c>
    </row>
    <row r="4560" spans="1:48" x14ac:dyDescent="0.4">
      <c r="A4560">
        <v>2313005998</v>
      </c>
      <c r="B4560">
        <v>2313006012</v>
      </c>
      <c r="C4560" t="str">
        <f>T("삼국지 호접몽전 1부 15화")</f>
        <v>삼국지 호접몽전 1부 15화</v>
      </c>
      <c r="D4560" t="str">
        <f>T("15")</f>
        <v>15</v>
      </c>
      <c r="E4560" t="str">
        <f t="shared" si="602"/>
        <v>청빙</v>
      </c>
      <c r="H4560" t="str">
        <f t="shared" si="597"/>
        <v>스토리위즈</v>
      </c>
      <c r="I4560" t="str">
        <f t="shared" si="603"/>
        <v>삼국지 호접몽전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T4560" t="str">
        <f t="shared" si="604"/>
        <v>9791159287794</v>
      </c>
      <c r="AV4560" t="str">
        <f t="shared" si="605"/>
        <v>판타지 웹소설 &gt; 퓨전 판타지</v>
      </c>
    </row>
    <row r="4561" spans="1:48" x14ac:dyDescent="0.4">
      <c r="A4561">
        <v>2313005998</v>
      </c>
      <c r="B4561">
        <v>2313006013</v>
      </c>
      <c r="C4561" t="str">
        <f>T("삼국지 호접몽전 1부 16화")</f>
        <v>삼국지 호접몽전 1부 16화</v>
      </c>
      <c r="D4561" t="str">
        <f>T("16")</f>
        <v>16</v>
      </c>
      <c r="E4561" t="str">
        <f t="shared" si="602"/>
        <v>청빙</v>
      </c>
      <c r="H4561" t="str">
        <f t="shared" si="597"/>
        <v>스토리위즈</v>
      </c>
      <c r="I4561" t="str">
        <f t="shared" si="603"/>
        <v>삼국지 호접몽전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T4561" t="str">
        <f t="shared" si="604"/>
        <v>9791159287794</v>
      </c>
      <c r="AV4561" t="str">
        <f t="shared" si="605"/>
        <v>판타지 웹소설 &gt; 퓨전 판타지</v>
      </c>
    </row>
    <row r="4562" spans="1:48" x14ac:dyDescent="0.4">
      <c r="A4562">
        <v>2313005998</v>
      </c>
      <c r="B4562">
        <v>2313006014</v>
      </c>
      <c r="C4562" t="str">
        <f>T("삼국지 호접몽전 1부 17화")</f>
        <v>삼국지 호접몽전 1부 17화</v>
      </c>
      <c r="D4562" t="str">
        <f>T("17")</f>
        <v>17</v>
      </c>
      <c r="E4562" t="str">
        <f t="shared" si="602"/>
        <v>청빙</v>
      </c>
      <c r="H4562" t="str">
        <f t="shared" si="597"/>
        <v>스토리위즈</v>
      </c>
      <c r="I4562" t="str">
        <f t="shared" si="603"/>
        <v>삼국지 호접몽전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T4562" t="str">
        <f t="shared" si="604"/>
        <v>9791159287794</v>
      </c>
      <c r="AV4562" t="str">
        <f t="shared" si="605"/>
        <v>판타지 웹소설 &gt; 퓨전 판타지</v>
      </c>
    </row>
    <row r="4563" spans="1:48" x14ac:dyDescent="0.4">
      <c r="A4563">
        <v>2313005998</v>
      </c>
      <c r="B4563">
        <v>2313006015</v>
      </c>
      <c r="C4563" t="str">
        <f>T("삼국지 호접몽전 1부 18화")</f>
        <v>삼국지 호접몽전 1부 18화</v>
      </c>
      <c r="D4563" t="str">
        <f>T("18")</f>
        <v>18</v>
      </c>
      <c r="E4563" t="str">
        <f t="shared" si="602"/>
        <v>청빙</v>
      </c>
      <c r="H4563" t="str">
        <f t="shared" si="597"/>
        <v>스토리위즈</v>
      </c>
      <c r="I4563" t="str">
        <f t="shared" si="603"/>
        <v>삼국지 호접몽전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T4563" t="str">
        <f t="shared" si="604"/>
        <v>9791159287794</v>
      </c>
      <c r="AV4563" t="str">
        <f t="shared" si="605"/>
        <v>판타지 웹소설 &gt; 퓨전 판타지</v>
      </c>
    </row>
    <row r="4564" spans="1:48" x14ac:dyDescent="0.4">
      <c r="A4564">
        <v>2313005998</v>
      </c>
      <c r="B4564">
        <v>2313006016</v>
      </c>
      <c r="C4564" t="str">
        <f>T("삼국지 호접몽전 1부 19화")</f>
        <v>삼국지 호접몽전 1부 19화</v>
      </c>
      <c r="D4564" t="str">
        <f>T("19")</f>
        <v>19</v>
      </c>
      <c r="E4564" t="str">
        <f t="shared" si="602"/>
        <v>청빙</v>
      </c>
      <c r="H4564" t="str">
        <f t="shared" si="597"/>
        <v>스토리위즈</v>
      </c>
      <c r="I4564" t="str">
        <f t="shared" si="603"/>
        <v>삼국지 호접몽전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T4564" t="str">
        <f t="shared" si="604"/>
        <v>9791159287794</v>
      </c>
      <c r="AV4564" t="str">
        <f t="shared" si="605"/>
        <v>판타지 웹소설 &gt; 퓨전 판타지</v>
      </c>
    </row>
    <row r="4565" spans="1:48" x14ac:dyDescent="0.4">
      <c r="A4565">
        <v>2313006989</v>
      </c>
      <c r="B4565">
        <v>2313006989</v>
      </c>
      <c r="C4565" t="str">
        <f>T("[e북]로드 오브 머니 1권")</f>
        <v>[e북]로드 오브 머니 1권</v>
      </c>
      <c r="D4565" t="str">
        <f>T("1")</f>
        <v>1</v>
      </c>
      <c r="E4565" t="str">
        <f>T("무장")</f>
        <v>무장</v>
      </c>
      <c r="H4565" t="str">
        <f t="shared" si="597"/>
        <v>스토리위즈</v>
      </c>
      <c r="I4565" t="str">
        <f>T("[e북]로드 오브 머니")</f>
        <v>[e북]로드 오브 머니</v>
      </c>
      <c r="J4565">
        <v>0</v>
      </c>
      <c r="K4565">
        <v>0</v>
      </c>
      <c r="L4565">
        <v>0</v>
      </c>
      <c r="M4565">
        <v>37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37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T4565" t="str">
        <f>T("9791188630103")</f>
        <v>9791188630103</v>
      </c>
      <c r="AV4565" t="str">
        <f>T("판타지 e북 &gt; 현대 판타지")</f>
        <v>판타지 e북 &gt; 현대 판타지</v>
      </c>
    </row>
    <row r="4566" spans="1:48" x14ac:dyDescent="0.4">
      <c r="A4566">
        <v>2313007040</v>
      </c>
      <c r="B4566">
        <v>2313007040</v>
      </c>
      <c r="C4566" t="str">
        <f>T("[e북]드래곤은 나 혼자 잡는다 1권")</f>
        <v>[e북]드래곤은 나 혼자 잡는다 1권</v>
      </c>
      <c r="D4566" t="str">
        <f>T("1")</f>
        <v>1</v>
      </c>
      <c r="E4566" t="str">
        <f>T("진문")</f>
        <v>진문</v>
      </c>
      <c r="H4566" t="str">
        <f t="shared" si="597"/>
        <v>스토리위즈</v>
      </c>
      <c r="I4566" t="str">
        <f>T("[e북]드래곤은 나 혼자 잡는다")</f>
        <v>[e북]드래곤은 나 혼자 잡는다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T4566" t="str">
        <f>T("9791159288425")</f>
        <v>9791159288425</v>
      </c>
      <c r="AV4566" t="str">
        <f t="shared" ref="AV4566:AV4577" si="606">T("판타지 e북 &gt; 퓨전 판타지")</f>
        <v>판타지 e북 &gt; 퓨전 판타지</v>
      </c>
    </row>
    <row r="4567" spans="1:48" x14ac:dyDescent="0.4">
      <c r="A4567">
        <v>2313007047</v>
      </c>
      <c r="B4567">
        <v>2313007047</v>
      </c>
      <c r="C4567" t="str">
        <f>T("[e북]삼국지 호접몽전 1부 1권")</f>
        <v>[e북]삼국지 호접몽전 1부 1권</v>
      </c>
      <c r="D4567" t="str">
        <f>T("1")</f>
        <v>1</v>
      </c>
      <c r="E4567" t="str">
        <f>T("청빙")</f>
        <v>청빙</v>
      </c>
      <c r="H4567" t="str">
        <f t="shared" si="597"/>
        <v>스토리위즈</v>
      </c>
      <c r="I4567" t="str">
        <f>T("[e북]삼국지 호접몽전")</f>
        <v>[e북]삼국지 호접몽전</v>
      </c>
      <c r="J4567">
        <v>0</v>
      </c>
      <c r="K4567">
        <v>0</v>
      </c>
      <c r="L4567">
        <v>0</v>
      </c>
      <c r="M4567">
        <v>6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6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T4567" t="str">
        <f>T("9791159289217")</f>
        <v>9791159289217</v>
      </c>
      <c r="AV4567" t="str">
        <f t="shared" si="606"/>
        <v>판타지 e북 &gt; 퓨전 판타지</v>
      </c>
    </row>
    <row r="4568" spans="1:48" x14ac:dyDescent="0.4">
      <c r="A4568">
        <v>2313007081</v>
      </c>
      <c r="B4568">
        <v>2313007081</v>
      </c>
      <c r="C4568" t="str">
        <f>T("[e북]SSS급 마왕의 귀환 1권")</f>
        <v>[e북]SSS급 마왕의 귀환 1권</v>
      </c>
      <c r="D4568" t="str">
        <f>T("1")</f>
        <v>1</v>
      </c>
      <c r="E4568" t="str">
        <f>T("구유")</f>
        <v>구유</v>
      </c>
      <c r="H4568" t="str">
        <f t="shared" si="597"/>
        <v>스토리위즈</v>
      </c>
      <c r="I4568" t="str">
        <f>T("[e북]SSS급 마왕의 귀환")</f>
        <v>[e북]SSS급 마왕의 귀환</v>
      </c>
      <c r="J4568">
        <v>0</v>
      </c>
      <c r="K4568">
        <v>0</v>
      </c>
      <c r="L4568">
        <v>0</v>
      </c>
      <c r="M4568">
        <v>8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8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T4568" t="str">
        <f>T("9791159289705")</f>
        <v>9791159289705</v>
      </c>
      <c r="AV4568" t="str">
        <f t="shared" si="606"/>
        <v>판타지 e북 &gt; 퓨전 판타지</v>
      </c>
    </row>
    <row r="4569" spans="1:48" x14ac:dyDescent="0.4">
      <c r="A4569">
        <v>2313007134</v>
      </c>
      <c r="B4569">
        <v>2313007134</v>
      </c>
      <c r="C4569" t="str">
        <f>T("[e북]성군이십니다 1권")</f>
        <v>[e북]성군이십니다 1권</v>
      </c>
      <c r="D4569" t="str">
        <f>T("1")</f>
        <v>1</v>
      </c>
      <c r="E4569" t="str">
        <f t="shared" ref="E4569:E4577" si="607">T("이준영")</f>
        <v>이준영</v>
      </c>
      <c r="H4569" t="str">
        <f t="shared" si="597"/>
        <v>스토리위즈</v>
      </c>
      <c r="I4569" t="str">
        <f t="shared" ref="I4569:I4577" si="608">T("[e북]성군이십니다")</f>
        <v>[e북]성군이십니다</v>
      </c>
      <c r="J4569">
        <v>0</v>
      </c>
      <c r="K4569">
        <v>0</v>
      </c>
      <c r="L4569">
        <v>0</v>
      </c>
      <c r="M4569">
        <v>13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8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21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R4569" t="str">
        <f t="shared" ref="AR4569:AR4577" si="609">T("0000000000000")</f>
        <v>0000000000000</v>
      </c>
      <c r="AT4569" t="str">
        <f>T("9791159284519")</f>
        <v>9791159284519</v>
      </c>
      <c r="AV4569" t="str">
        <f t="shared" si="606"/>
        <v>판타지 e북 &gt; 퓨전 판타지</v>
      </c>
    </row>
    <row r="4570" spans="1:48" x14ac:dyDescent="0.4">
      <c r="A4570">
        <v>2313007134</v>
      </c>
      <c r="B4570">
        <v>2313007135</v>
      </c>
      <c r="C4570" t="str">
        <f>T("[e북]성군이십니다 2권")</f>
        <v>[e북]성군이십니다 2권</v>
      </c>
      <c r="D4570" t="str">
        <f>T("2")</f>
        <v>2</v>
      </c>
      <c r="E4570" t="str">
        <f t="shared" si="607"/>
        <v>이준영</v>
      </c>
      <c r="H4570" t="str">
        <f t="shared" si="597"/>
        <v>스토리위즈</v>
      </c>
      <c r="I4570" t="str">
        <f t="shared" si="608"/>
        <v>[e북]성군이십니다</v>
      </c>
      <c r="J4570">
        <v>3200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12800</v>
      </c>
      <c r="T4570">
        <v>8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12800</v>
      </c>
      <c r="AH4570">
        <v>8</v>
      </c>
      <c r="AI4570">
        <v>0</v>
      </c>
      <c r="AJ4570">
        <v>0</v>
      </c>
      <c r="AK4570">
        <v>12800</v>
      </c>
      <c r="AL4570">
        <v>0</v>
      </c>
      <c r="AM4570">
        <v>0</v>
      </c>
      <c r="AN4570">
        <v>0</v>
      </c>
      <c r="AO4570">
        <v>0</v>
      </c>
      <c r="AP4570">
        <v>8960</v>
      </c>
      <c r="AR4570" t="str">
        <f t="shared" si="609"/>
        <v>0000000000000</v>
      </c>
      <c r="AT4570" t="str">
        <f>T("9791159284526")</f>
        <v>9791159284526</v>
      </c>
      <c r="AV4570" t="str">
        <f t="shared" si="606"/>
        <v>판타지 e북 &gt; 퓨전 판타지</v>
      </c>
    </row>
    <row r="4571" spans="1:48" x14ac:dyDescent="0.4">
      <c r="A4571">
        <v>2313007134</v>
      </c>
      <c r="B4571">
        <v>2313007136</v>
      </c>
      <c r="C4571" t="str">
        <f>T("[e북]성군이십니다 3권")</f>
        <v>[e북]성군이십니다 3권</v>
      </c>
      <c r="D4571" t="str">
        <f>T("3")</f>
        <v>3</v>
      </c>
      <c r="E4571" t="str">
        <f t="shared" si="607"/>
        <v>이준영</v>
      </c>
      <c r="H4571" t="str">
        <f t="shared" si="597"/>
        <v>스토리위즈</v>
      </c>
      <c r="I4571" t="str">
        <f t="shared" si="608"/>
        <v>[e북]성군이십니다</v>
      </c>
      <c r="J4571">
        <v>3200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12800</v>
      </c>
      <c r="T4571">
        <v>8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12800</v>
      </c>
      <c r="AH4571">
        <v>8</v>
      </c>
      <c r="AI4571">
        <v>0</v>
      </c>
      <c r="AJ4571">
        <v>0</v>
      </c>
      <c r="AK4571">
        <v>12800</v>
      </c>
      <c r="AL4571">
        <v>0</v>
      </c>
      <c r="AM4571">
        <v>0</v>
      </c>
      <c r="AN4571">
        <v>0</v>
      </c>
      <c r="AO4571">
        <v>0</v>
      </c>
      <c r="AP4571">
        <v>8960</v>
      </c>
      <c r="AR4571" t="str">
        <f t="shared" si="609"/>
        <v>0000000000000</v>
      </c>
      <c r="AT4571" t="str">
        <f>T("9791159284533")</f>
        <v>9791159284533</v>
      </c>
      <c r="AV4571" t="str">
        <f t="shared" si="606"/>
        <v>판타지 e북 &gt; 퓨전 판타지</v>
      </c>
    </row>
    <row r="4572" spans="1:48" x14ac:dyDescent="0.4">
      <c r="A4572">
        <v>2313007134</v>
      </c>
      <c r="B4572">
        <v>2313007137</v>
      </c>
      <c r="C4572" t="str">
        <f>T("[e북]성군이십니다 4권")</f>
        <v>[e북]성군이십니다 4권</v>
      </c>
      <c r="D4572" t="str">
        <f>T("4")</f>
        <v>4</v>
      </c>
      <c r="E4572" t="str">
        <f t="shared" si="607"/>
        <v>이준영</v>
      </c>
      <c r="H4572" t="str">
        <f t="shared" si="597"/>
        <v>스토리위즈</v>
      </c>
      <c r="I4572" t="str">
        <f t="shared" si="608"/>
        <v>[e북]성군이십니다</v>
      </c>
      <c r="J4572">
        <v>3200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12800</v>
      </c>
      <c r="T4572">
        <v>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12800</v>
      </c>
      <c r="AH4572">
        <v>8</v>
      </c>
      <c r="AI4572">
        <v>0</v>
      </c>
      <c r="AJ4572">
        <v>0</v>
      </c>
      <c r="AK4572">
        <v>12800</v>
      </c>
      <c r="AL4572">
        <v>0</v>
      </c>
      <c r="AM4572">
        <v>0</v>
      </c>
      <c r="AN4572">
        <v>0</v>
      </c>
      <c r="AO4572">
        <v>0</v>
      </c>
      <c r="AP4572">
        <v>8960</v>
      </c>
      <c r="AR4572" t="str">
        <f t="shared" si="609"/>
        <v>0000000000000</v>
      </c>
      <c r="AT4572" t="str">
        <f>T("9791159284540")</f>
        <v>9791159284540</v>
      </c>
      <c r="AV4572" t="str">
        <f t="shared" si="606"/>
        <v>판타지 e북 &gt; 퓨전 판타지</v>
      </c>
    </row>
    <row r="4573" spans="1:48" x14ac:dyDescent="0.4">
      <c r="A4573">
        <v>2313007134</v>
      </c>
      <c r="B4573">
        <v>2313007138</v>
      </c>
      <c r="C4573" t="str">
        <f>T("[e북]성군이십니다 5권")</f>
        <v>[e북]성군이십니다 5권</v>
      </c>
      <c r="D4573" t="str">
        <f>T("5")</f>
        <v>5</v>
      </c>
      <c r="E4573" t="str">
        <f t="shared" si="607"/>
        <v>이준영</v>
      </c>
      <c r="H4573" t="str">
        <f t="shared" si="597"/>
        <v>스토리위즈</v>
      </c>
      <c r="I4573" t="str">
        <f t="shared" si="608"/>
        <v>[e북]성군이십니다</v>
      </c>
      <c r="J4573">
        <v>3200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12800</v>
      </c>
      <c r="T4573">
        <v>8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12800</v>
      </c>
      <c r="AH4573">
        <v>8</v>
      </c>
      <c r="AI4573">
        <v>0</v>
      </c>
      <c r="AJ4573">
        <v>0</v>
      </c>
      <c r="AK4573">
        <v>12800</v>
      </c>
      <c r="AL4573">
        <v>0</v>
      </c>
      <c r="AM4573">
        <v>0</v>
      </c>
      <c r="AN4573">
        <v>0</v>
      </c>
      <c r="AO4573">
        <v>0</v>
      </c>
      <c r="AP4573">
        <v>8960</v>
      </c>
      <c r="AR4573" t="str">
        <f t="shared" si="609"/>
        <v>0000000000000</v>
      </c>
      <c r="AT4573" t="str">
        <f>T("9791159284557")</f>
        <v>9791159284557</v>
      </c>
      <c r="AV4573" t="str">
        <f t="shared" si="606"/>
        <v>판타지 e북 &gt; 퓨전 판타지</v>
      </c>
    </row>
    <row r="4574" spans="1:48" x14ac:dyDescent="0.4">
      <c r="A4574">
        <v>2313007134</v>
      </c>
      <c r="B4574">
        <v>2313007139</v>
      </c>
      <c r="C4574" t="str">
        <f>T("[e북]성군이십니다 6권")</f>
        <v>[e북]성군이십니다 6권</v>
      </c>
      <c r="D4574" t="str">
        <f>T("6")</f>
        <v>6</v>
      </c>
      <c r="E4574" t="str">
        <f t="shared" si="607"/>
        <v>이준영</v>
      </c>
      <c r="H4574" t="str">
        <f t="shared" si="597"/>
        <v>스토리위즈</v>
      </c>
      <c r="I4574" t="str">
        <f t="shared" si="608"/>
        <v>[e북]성군이십니다</v>
      </c>
      <c r="J4574">
        <v>3200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12800</v>
      </c>
      <c r="T4574">
        <v>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12800</v>
      </c>
      <c r="AH4574">
        <v>8</v>
      </c>
      <c r="AI4574">
        <v>0</v>
      </c>
      <c r="AJ4574">
        <v>0</v>
      </c>
      <c r="AK4574">
        <v>12800</v>
      </c>
      <c r="AL4574">
        <v>0</v>
      </c>
      <c r="AM4574">
        <v>0</v>
      </c>
      <c r="AN4574">
        <v>0</v>
      </c>
      <c r="AO4574">
        <v>0</v>
      </c>
      <c r="AP4574">
        <v>8960</v>
      </c>
      <c r="AR4574" t="str">
        <f t="shared" si="609"/>
        <v>0000000000000</v>
      </c>
      <c r="AT4574" t="str">
        <f>T("9791159284564")</f>
        <v>9791159284564</v>
      </c>
      <c r="AV4574" t="str">
        <f t="shared" si="606"/>
        <v>판타지 e북 &gt; 퓨전 판타지</v>
      </c>
    </row>
    <row r="4575" spans="1:48" x14ac:dyDescent="0.4">
      <c r="A4575">
        <v>2313007134</v>
      </c>
      <c r="B4575">
        <v>2313007140</v>
      </c>
      <c r="C4575" t="str">
        <f>T("[e북]성군이십니다 7권")</f>
        <v>[e북]성군이십니다 7권</v>
      </c>
      <c r="D4575" t="str">
        <f>T("7")</f>
        <v>7</v>
      </c>
      <c r="E4575" t="str">
        <f t="shared" si="607"/>
        <v>이준영</v>
      </c>
      <c r="H4575" t="str">
        <f t="shared" ref="H4575:H4638" si="610">T("스토리위즈")</f>
        <v>스토리위즈</v>
      </c>
      <c r="I4575" t="str">
        <f t="shared" si="608"/>
        <v>[e북]성군이십니다</v>
      </c>
      <c r="J4575">
        <v>3200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12800</v>
      </c>
      <c r="T4575">
        <v>8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12800</v>
      </c>
      <c r="AH4575">
        <v>8</v>
      </c>
      <c r="AI4575">
        <v>0</v>
      </c>
      <c r="AJ4575">
        <v>0</v>
      </c>
      <c r="AK4575">
        <v>12800</v>
      </c>
      <c r="AL4575">
        <v>0</v>
      </c>
      <c r="AM4575">
        <v>0</v>
      </c>
      <c r="AN4575">
        <v>0</v>
      </c>
      <c r="AO4575">
        <v>0</v>
      </c>
      <c r="AP4575">
        <v>8960</v>
      </c>
      <c r="AR4575" t="str">
        <f t="shared" si="609"/>
        <v>0000000000000</v>
      </c>
      <c r="AT4575" t="str">
        <f>T("9791159284588")</f>
        <v>9791159284588</v>
      </c>
      <c r="AV4575" t="str">
        <f t="shared" si="606"/>
        <v>판타지 e북 &gt; 퓨전 판타지</v>
      </c>
    </row>
    <row r="4576" spans="1:48" x14ac:dyDescent="0.4">
      <c r="A4576">
        <v>2313007134</v>
      </c>
      <c r="B4576">
        <v>2313007141</v>
      </c>
      <c r="C4576" t="str">
        <f>T("[e북]성군이십니다 8권")</f>
        <v>[e북]성군이십니다 8권</v>
      </c>
      <c r="D4576" t="str">
        <f>T("8")</f>
        <v>8</v>
      </c>
      <c r="E4576" t="str">
        <f t="shared" si="607"/>
        <v>이준영</v>
      </c>
      <c r="H4576" t="str">
        <f t="shared" si="610"/>
        <v>스토리위즈</v>
      </c>
      <c r="I4576" t="str">
        <f t="shared" si="608"/>
        <v>[e북]성군이십니다</v>
      </c>
      <c r="J4576">
        <v>3200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12800</v>
      </c>
      <c r="T4576">
        <v>8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12800</v>
      </c>
      <c r="AH4576">
        <v>8</v>
      </c>
      <c r="AI4576">
        <v>0</v>
      </c>
      <c r="AJ4576">
        <v>0</v>
      </c>
      <c r="AK4576">
        <v>12800</v>
      </c>
      <c r="AL4576">
        <v>0</v>
      </c>
      <c r="AM4576">
        <v>0</v>
      </c>
      <c r="AN4576">
        <v>0</v>
      </c>
      <c r="AO4576">
        <v>0</v>
      </c>
      <c r="AP4576">
        <v>8960</v>
      </c>
      <c r="AR4576" t="str">
        <f t="shared" si="609"/>
        <v>0000000000000</v>
      </c>
      <c r="AT4576" t="str">
        <f>T("9791159284595")</f>
        <v>9791159284595</v>
      </c>
      <c r="AV4576" t="str">
        <f t="shared" si="606"/>
        <v>판타지 e북 &gt; 퓨전 판타지</v>
      </c>
    </row>
    <row r="4577" spans="1:48" x14ac:dyDescent="0.4">
      <c r="A4577">
        <v>2313007134</v>
      </c>
      <c r="B4577">
        <v>2313007142</v>
      </c>
      <c r="C4577" t="str">
        <f>T("[e북]성군이십니다 9권 (완결)")</f>
        <v>[e북]성군이십니다 9권 (완결)</v>
      </c>
      <c r="D4577" t="str">
        <f>T("9")</f>
        <v>9</v>
      </c>
      <c r="E4577" t="str">
        <f t="shared" si="607"/>
        <v>이준영</v>
      </c>
      <c r="H4577" t="str">
        <f t="shared" si="610"/>
        <v>스토리위즈</v>
      </c>
      <c r="I4577" t="str">
        <f t="shared" si="608"/>
        <v>[e북]성군이십니다</v>
      </c>
      <c r="J4577">
        <v>3200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12800</v>
      </c>
      <c r="T4577">
        <v>8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12800</v>
      </c>
      <c r="AH4577">
        <v>8</v>
      </c>
      <c r="AI4577">
        <v>0</v>
      </c>
      <c r="AJ4577">
        <v>0</v>
      </c>
      <c r="AK4577">
        <v>12800</v>
      </c>
      <c r="AL4577">
        <v>0</v>
      </c>
      <c r="AM4577">
        <v>0</v>
      </c>
      <c r="AN4577">
        <v>0</v>
      </c>
      <c r="AO4577">
        <v>0</v>
      </c>
      <c r="AP4577">
        <v>8960</v>
      </c>
      <c r="AR4577" t="str">
        <f t="shared" si="609"/>
        <v>0000000000000</v>
      </c>
      <c r="AT4577" t="str">
        <f>T("9791159284601")</f>
        <v>9791159284601</v>
      </c>
      <c r="AV4577" t="str">
        <f t="shared" si="606"/>
        <v>판타지 e북 &gt; 퓨전 판타지</v>
      </c>
    </row>
    <row r="4578" spans="1:48" x14ac:dyDescent="0.4">
      <c r="A4578">
        <v>2313007167</v>
      </c>
      <c r="B4578">
        <v>2313007167</v>
      </c>
      <c r="C4578" t="str">
        <f>T("이과생 둘이 회귀했다 1화")</f>
        <v>이과생 둘이 회귀했다 1화</v>
      </c>
      <c r="D4578" t="str">
        <f>T("1")</f>
        <v>1</v>
      </c>
      <c r="E4578" t="str">
        <f t="shared" ref="E4578:E4602" si="611">T("하이후")</f>
        <v>하이후</v>
      </c>
      <c r="H4578" t="str">
        <f t="shared" si="610"/>
        <v>스토리위즈</v>
      </c>
      <c r="I4578" t="str">
        <f t="shared" ref="I4578:I4602" si="612">T("이과생 둘이 회귀했다")</f>
        <v>이과생 둘이 회귀했다</v>
      </c>
      <c r="J4578">
        <v>0</v>
      </c>
      <c r="K4578">
        <v>0</v>
      </c>
      <c r="L4578">
        <v>0</v>
      </c>
      <c r="M4578">
        <v>3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3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T4578" t="str">
        <f t="shared" ref="AT4578:AT4602" si="613">T("9791159284632")</f>
        <v>9791159284632</v>
      </c>
      <c r="AV4578" t="str">
        <f t="shared" ref="AV4578:AV4627" si="614">T("판타지 웹소설 &gt; 현대 판타지")</f>
        <v>판타지 웹소설 &gt; 현대 판타지</v>
      </c>
    </row>
    <row r="4579" spans="1:48" x14ac:dyDescent="0.4">
      <c r="A4579">
        <v>2313007167</v>
      </c>
      <c r="B4579">
        <v>2313007168</v>
      </c>
      <c r="C4579" t="str">
        <f>T("이과생 둘이 회귀했다 2화")</f>
        <v>이과생 둘이 회귀했다 2화</v>
      </c>
      <c r="D4579" t="str">
        <f>T("2")</f>
        <v>2</v>
      </c>
      <c r="E4579" t="str">
        <f t="shared" si="611"/>
        <v>하이후</v>
      </c>
      <c r="H4579" t="str">
        <f t="shared" si="610"/>
        <v>스토리위즈</v>
      </c>
      <c r="I4579" t="str">
        <f t="shared" si="612"/>
        <v>이과생 둘이 회귀했다</v>
      </c>
      <c r="J4579">
        <v>0</v>
      </c>
      <c r="K4579">
        <v>0</v>
      </c>
      <c r="L4579">
        <v>0</v>
      </c>
      <c r="M4579">
        <v>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3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T4579" t="str">
        <f t="shared" si="613"/>
        <v>9791159284632</v>
      </c>
      <c r="AV4579" t="str">
        <f t="shared" si="614"/>
        <v>판타지 웹소설 &gt; 현대 판타지</v>
      </c>
    </row>
    <row r="4580" spans="1:48" x14ac:dyDescent="0.4">
      <c r="A4580">
        <v>2313007167</v>
      </c>
      <c r="B4580">
        <v>2313007169</v>
      </c>
      <c r="C4580" t="str">
        <f>T("이과생 둘이 회귀했다 3화")</f>
        <v>이과생 둘이 회귀했다 3화</v>
      </c>
      <c r="D4580" t="str">
        <f>T("3")</f>
        <v>3</v>
      </c>
      <c r="E4580" t="str">
        <f t="shared" si="611"/>
        <v>하이후</v>
      </c>
      <c r="H4580" t="str">
        <f t="shared" si="610"/>
        <v>스토리위즈</v>
      </c>
      <c r="I4580" t="str">
        <f t="shared" si="612"/>
        <v>이과생 둘이 회귀했다</v>
      </c>
      <c r="J4580">
        <v>0</v>
      </c>
      <c r="K4580">
        <v>0</v>
      </c>
      <c r="L4580">
        <v>0</v>
      </c>
      <c r="M4580">
        <v>3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3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T4580" t="str">
        <f t="shared" si="613"/>
        <v>9791159284632</v>
      </c>
      <c r="AV4580" t="str">
        <f t="shared" si="614"/>
        <v>판타지 웹소설 &gt; 현대 판타지</v>
      </c>
    </row>
    <row r="4581" spans="1:48" x14ac:dyDescent="0.4">
      <c r="A4581">
        <v>2313007167</v>
      </c>
      <c r="B4581">
        <v>2313007170</v>
      </c>
      <c r="C4581" t="str">
        <f>T("이과생 둘이 회귀했다 4화")</f>
        <v>이과생 둘이 회귀했다 4화</v>
      </c>
      <c r="D4581" t="str">
        <f>T("4")</f>
        <v>4</v>
      </c>
      <c r="E4581" t="str">
        <f t="shared" si="611"/>
        <v>하이후</v>
      </c>
      <c r="H4581" t="str">
        <f t="shared" si="610"/>
        <v>스토리위즈</v>
      </c>
      <c r="I4581" t="str">
        <f t="shared" si="612"/>
        <v>이과생 둘이 회귀했다</v>
      </c>
      <c r="J4581">
        <v>0</v>
      </c>
      <c r="K4581">
        <v>0</v>
      </c>
      <c r="L4581">
        <v>0</v>
      </c>
      <c r="M4581">
        <v>3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3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T4581" t="str">
        <f t="shared" si="613"/>
        <v>9791159284632</v>
      </c>
      <c r="AV4581" t="str">
        <f t="shared" si="614"/>
        <v>판타지 웹소설 &gt; 현대 판타지</v>
      </c>
    </row>
    <row r="4582" spans="1:48" x14ac:dyDescent="0.4">
      <c r="A4582">
        <v>2313007167</v>
      </c>
      <c r="B4582">
        <v>2313007171</v>
      </c>
      <c r="C4582" t="str">
        <f>T("이과생 둘이 회귀했다 5화")</f>
        <v>이과생 둘이 회귀했다 5화</v>
      </c>
      <c r="D4582" t="str">
        <f>T("5")</f>
        <v>5</v>
      </c>
      <c r="E4582" t="str">
        <f t="shared" si="611"/>
        <v>하이후</v>
      </c>
      <c r="H4582" t="str">
        <f t="shared" si="610"/>
        <v>스토리위즈</v>
      </c>
      <c r="I4582" t="str">
        <f t="shared" si="612"/>
        <v>이과생 둘이 회귀했다</v>
      </c>
      <c r="J4582">
        <v>0</v>
      </c>
      <c r="K4582">
        <v>0</v>
      </c>
      <c r="L4582">
        <v>0</v>
      </c>
      <c r="M4582">
        <v>3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3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T4582" t="str">
        <f t="shared" si="613"/>
        <v>9791159284632</v>
      </c>
      <c r="AV4582" t="str">
        <f t="shared" si="614"/>
        <v>판타지 웹소설 &gt; 현대 판타지</v>
      </c>
    </row>
    <row r="4583" spans="1:48" x14ac:dyDescent="0.4">
      <c r="A4583">
        <v>2313007167</v>
      </c>
      <c r="B4583">
        <v>2313007172</v>
      </c>
      <c r="C4583" t="str">
        <f>T("이과생 둘이 회귀했다 6화")</f>
        <v>이과생 둘이 회귀했다 6화</v>
      </c>
      <c r="D4583" t="str">
        <f>T("6")</f>
        <v>6</v>
      </c>
      <c r="E4583" t="str">
        <f t="shared" si="611"/>
        <v>하이후</v>
      </c>
      <c r="H4583" t="str">
        <f t="shared" si="610"/>
        <v>스토리위즈</v>
      </c>
      <c r="I4583" t="str">
        <f t="shared" si="612"/>
        <v>이과생 둘이 회귀했다</v>
      </c>
      <c r="J4583">
        <v>0</v>
      </c>
      <c r="K4583">
        <v>0</v>
      </c>
      <c r="L4583">
        <v>0</v>
      </c>
      <c r="M4583">
        <v>3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3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T4583" t="str">
        <f t="shared" si="613"/>
        <v>9791159284632</v>
      </c>
      <c r="AV4583" t="str">
        <f t="shared" si="614"/>
        <v>판타지 웹소설 &gt; 현대 판타지</v>
      </c>
    </row>
    <row r="4584" spans="1:48" x14ac:dyDescent="0.4">
      <c r="A4584">
        <v>2313007167</v>
      </c>
      <c r="B4584">
        <v>2313007173</v>
      </c>
      <c r="C4584" t="str">
        <f>T("이과생 둘이 회귀했다 7화")</f>
        <v>이과생 둘이 회귀했다 7화</v>
      </c>
      <c r="D4584" t="str">
        <f>T("7")</f>
        <v>7</v>
      </c>
      <c r="E4584" t="str">
        <f t="shared" si="611"/>
        <v>하이후</v>
      </c>
      <c r="H4584" t="str">
        <f t="shared" si="610"/>
        <v>스토리위즈</v>
      </c>
      <c r="I4584" t="str">
        <f t="shared" si="612"/>
        <v>이과생 둘이 회귀했다</v>
      </c>
      <c r="J4584">
        <v>0</v>
      </c>
      <c r="K4584">
        <v>0</v>
      </c>
      <c r="L4584">
        <v>0</v>
      </c>
      <c r="M4584">
        <v>3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3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T4584" t="str">
        <f t="shared" si="613"/>
        <v>9791159284632</v>
      </c>
      <c r="AV4584" t="str">
        <f t="shared" si="614"/>
        <v>판타지 웹소설 &gt; 현대 판타지</v>
      </c>
    </row>
    <row r="4585" spans="1:48" x14ac:dyDescent="0.4">
      <c r="A4585">
        <v>2313007167</v>
      </c>
      <c r="B4585">
        <v>2313007174</v>
      </c>
      <c r="C4585" t="str">
        <f>T("이과생 둘이 회귀했다 8화")</f>
        <v>이과생 둘이 회귀했다 8화</v>
      </c>
      <c r="D4585" t="str">
        <f>T("8")</f>
        <v>8</v>
      </c>
      <c r="E4585" t="str">
        <f t="shared" si="611"/>
        <v>하이후</v>
      </c>
      <c r="H4585" t="str">
        <f t="shared" si="610"/>
        <v>스토리위즈</v>
      </c>
      <c r="I4585" t="str">
        <f t="shared" si="612"/>
        <v>이과생 둘이 회귀했다</v>
      </c>
      <c r="J4585">
        <v>0</v>
      </c>
      <c r="K4585">
        <v>0</v>
      </c>
      <c r="L4585">
        <v>0</v>
      </c>
      <c r="M4585">
        <v>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3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T4585" t="str">
        <f t="shared" si="613"/>
        <v>9791159284632</v>
      </c>
      <c r="AV4585" t="str">
        <f t="shared" si="614"/>
        <v>판타지 웹소설 &gt; 현대 판타지</v>
      </c>
    </row>
    <row r="4586" spans="1:48" x14ac:dyDescent="0.4">
      <c r="A4586">
        <v>2313007167</v>
      </c>
      <c r="B4586">
        <v>2313007175</v>
      </c>
      <c r="C4586" t="str">
        <f>T("이과생 둘이 회귀했다 9화")</f>
        <v>이과생 둘이 회귀했다 9화</v>
      </c>
      <c r="D4586" t="str">
        <f>T("9")</f>
        <v>9</v>
      </c>
      <c r="E4586" t="str">
        <f t="shared" si="611"/>
        <v>하이후</v>
      </c>
      <c r="H4586" t="str">
        <f t="shared" si="610"/>
        <v>스토리위즈</v>
      </c>
      <c r="I4586" t="str">
        <f t="shared" si="612"/>
        <v>이과생 둘이 회귀했다</v>
      </c>
      <c r="J4586">
        <v>0</v>
      </c>
      <c r="K4586">
        <v>0</v>
      </c>
      <c r="L4586">
        <v>0</v>
      </c>
      <c r="M4586">
        <v>3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3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T4586" t="str">
        <f t="shared" si="613"/>
        <v>9791159284632</v>
      </c>
      <c r="AV4586" t="str">
        <f t="shared" si="614"/>
        <v>판타지 웹소설 &gt; 현대 판타지</v>
      </c>
    </row>
    <row r="4587" spans="1:48" x14ac:dyDescent="0.4">
      <c r="A4587">
        <v>2313007167</v>
      </c>
      <c r="B4587">
        <v>2313007176</v>
      </c>
      <c r="C4587" t="str">
        <f>T("이과생 둘이 회귀했다 10화")</f>
        <v>이과생 둘이 회귀했다 10화</v>
      </c>
      <c r="D4587" t="str">
        <f>T("10")</f>
        <v>10</v>
      </c>
      <c r="E4587" t="str">
        <f t="shared" si="611"/>
        <v>하이후</v>
      </c>
      <c r="H4587" t="str">
        <f t="shared" si="610"/>
        <v>스토리위즈</v>
      </c>
      <c r="I4587" t="str">
        <f t="shared" si="612"/>
        <v>이과생 둘이 회귀했다</v>
      </c>
      <c r="J4587">
        <v>0</v>
      </c>
      <c r="K4587">
        <v>0</v>
      </c>
      <c r="L4587">
        <v>0</v>
      </c>
      <c r="M4587">
        <v>3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3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T4587" t="str">
        <f t="shared" si="613"/>
        <v>9791159284632</v>
      </c>
      <c r="AV4587" t="str">
        <f t="shared" si="614"/>
        <v>판타지 웹소설 &gt; 현대 판타지</v>
      </c>
    </row>
    <row r="4588" spans="1:48" x14ac:dyDescent="0.4">
      <c r="A4588">
        <v>2313007167</v>
      </c>
      <c r="B4588">
        <v>2313007177</v>
      </c>
      <c r="C4588" t="str">
        <f>T("이과생 둘이 회귀했다 11화")</f>
        <v>이과생 둘이 회귀했다 11화</v>
      </c>
      <c r="D4588" t="str">
        <f>T("11")</f>
        <v>11</v>
      </c>
      <c r="E4588" t="str">
        <f t="shared" si="611"/>
        <v>하이후</v>
      </c>
      <c r="H4588" t="str">
        <f t="shared" si="610"/>
        <v>스토리위즈</v>
      </c>
      <c r="I4588" t="str">
        <f t="shared" si="612"/>
        <v>이과생 둘이 회귀했다</v>
      </c>
      <c r="J4588">
        <v>0</v>
      </c>
      <c r="K4588">
        <v>0</v>
      </c>
      <c r="L4588">
        <v>0</v>
      </c>
      <c r="M4588">
        <v>3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3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T4588" t="str">
        <f t="shared" si="613"/>
        <v>9791159284632</v>
      </c>
      <c r="AV4588" t="str">
        <f t="shared" si="614"/>
        <v>판타지 웹소설 &gt; 현대 판타지</v>
      </c>
    </row>
    <row r="4589" spans="1:48" x14ac:dyDescent="0.4">
      <c r="A4589">
        <v>2313007167</v>
      </c>
      <c r="B4589">
        <v>2313007178</v>
      </c>
      <c r="C4589" t="str">
        <f>T("이과생 둘이 회귀했다 12화")</f>
        <v>이과생 둘이 회귀했다 12화</v>
      </c>
      <c r="D4589" t="str">
        <f>T("12")</f>
        <v>12</v>
      </c>
      <c r="E4589" t="str">
        <f t="shared" si="611"/>
        <v>하이후</v>
      </c>
      <c r="H4589" t="str">
        <f t="shared" si="610"/>
        <v>스토리위즈</v>
      </c>
      <c r="I4589" t="str">
        <f t="shared" si="612"/>
        <v>이과생 둘이 회귀했다</v>
      </c>
      <c r="J4589">
        <v>0</v>
      </c>
      <c r="K4589">
        <v>0</v>
      </c>
      <c r="L4589">
        <v>0</v>
      </c>
      <c r="M4589">
        <v>3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3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T4589" t="str">
        <f t="shared" si="613"/>
        <v>9791159284632</v>
      </c>
      <c r="AV4589" t="str">
        <f t="shared" si="614"/>
        <v>판타지 웹소설 &gt; 현대 판타지</v>
      </c>
    </row>
    <row r="4590" spans="1:48" x14ac:dyDescent="0.4">
      <c r="A4590">
        <v>2313007167</v>
      </c>
      <c r="B4590">
        <v>2313007179</v>
      </c>
      <c r="C4590" t="str">
        <f>T("이과생 둘이 회귀했다 13화")</f>
        <v>이과생 둘이 회귀했다 13화</v>
      </c>
      <c r="D4590" t="str">
        <f>T("13")</f>
        <v>13</v>
      </c>
      <c r="E4590" t="str">
        <f t="shared" si="611"/>
        <v>하이후</v>
      </c>
      <c r="H4590" t="str">
        <f t="shared" si="610"/>
        <v>스토리위즈</v>
      </c>
      <c r="I4590" t="str">
        <f t="shared" si="612"/>
        <v>이과생 둘이 회귀했다</v>
      </c>
      <c r="J4590">
        <v>0</v>
      </c>
      <c r="K4590">
        <v>0</v>
      </c>
      <c r="L4590">
        <v>0</v>
      </c>
      <c r="M4590">
        <v>3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3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T4590" t="str">
        <f t="shared" si="613"/>
        <v>9791159284632</v>
      </c>
      <c r="AV4590" t="str">
        <f t="shared" si="614"/>
        <v>판타지 웹소설 &gt; 현대 판타지</v>
      </c>
    </row>
    <row r="4591" spans="1:48" x14ac:dyDescent="0.4">
      <c r="A4591">
        <v>2313007167</v>
      </c>
      <c r="B4591">
        <v>2313007180</v>
      </c>
      <c r="C4591" t="str">
        <f>T("이과생 둘이 회귀했다 14화")</f>
        <v>이과생 둘이 회귀했다 14화</v>
      </c>
      <c r="D4591" t="str">
        <f>T("14")</f>
        <v>14</v>
      </c>
      <c r="E4591" t="str">
        <f t="shared" si="611"/>
        <v>하이후</v>
      </c>
      <c r="H4591" t="str">
        <f t="shared" si="610"/>
        <v>스토리위즈</v>
      </c>
      <c r="I4591" t="str">
        <f t="shared" si="612"/>
        <v>이과생 둘이 회귀했다</v>
      </c>
      <c r="J4591">
        <v>0</v>
      </c>
      <c r="K4591">
        <v>0</v>
      </c>
      <c r="L4591">
        <v>0</v>
      </c>
      <c r="M4591">
        <v>3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3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T4591" t="str">
        <f t="shared" si="613"/>
        <v>9791159284632</v>
      </c>
      <c r="AV4591" t="str">
        <f t="shared" si="614"/>
        <v>판타지 웹소설 &gt; 현대 판타지</v>
      </c>
    </row>
    <row r="4592" spans="1:48" x14ac:dyDescent="0.4">
      <c r="A4592">
        <v>2313007167</v>
      </c>
      <c r="B4592">
        <v>2313007181</v>
      </c>
      <c r="C4592" t="str">
        <f>T("이과생 둘이 회귀했다 15화")</f>
        <v>이과생 둘이 회귀했다 15화</v>
      </c>
      <c r="D4592" t="str">
        <f>T("15")</f>
        <v>15</v>
      </c>
      <c r="E4592" t="str">
        <f t="shared" si="611"/>
        <v>하이후</v>
      </c>
      <c r="H4592" t="str">
        <f t="shared" si="610"/>
        <v>스토리위즈</v>
      </c>
      <c r="I4592" t="str">
        <f t="shared" si="612"/>
        <v>이과생 둘이 회귀했다</v>
      </c>
      <c r="J4592">
        <v>0</v>
      </c>
      <c r="K4592">
        <v>0</v>
      </c>
      <c r="L4592">
        <v>0</v>
      </c>
      <c r="M4592">
        <v>3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3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T4592" t="str">
        <f t="shared" si="613"/>
        <v>9791159284632</v>
      </c>
      <c r="AV4592" t="str">
        <f t="shared" si="614"/>
        <v>판타지 웹소설 &gt; 현대 판타지</v>
      </c>
    </row>
    <row r="4593" spans="1:48" x14ac:dyDescent="0.4">
      <c r="A4593">
        <v>2313007167</v>
      </c>
      <c r="B4593">
        <v>2313007182</v>
      </c>
      <c r="C4593" t="str">
        <f>T("이과생 둘이 회귀했다 16화")</f>
        <v>이과생 둘이 회귀했다 16화</v>
      </c>
      <c r="D4593" t="str">
        <f>T("16")</f>
        <v>16</v>
      </c>
      <c r="E4593" t="str">
        <f t="shared" si="611"/>
        <v>하이후</v>
      </c>
      <c r="H4593" t="str">
        <f t="shared" si="610"/>
        <v>스토리위즈</v>
      </c>
      <c r="I4593" t="str">
        <f t="shared" si="612"/>
        <v>이과생 둘이 회귀했다</v>
      </c>
      <c r="J4593">
        <v>0</v>
      </c>
      <c r="K4593">
        <v>0</v>
      </c>
      <c r="L4593">
        <v>0</v>
      </c>
      <c r="M4593">
        <v>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2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T4593" t="str">
        <f t="shared" si="613"/>
        <v>9791159284632</v>
      </c>
      <c r="AV4593" t="str">
        <f t="shared" si="614"/>
        <v>판타지 웹소설 &gt; 현대 판타지</v>
      </c>
    </row>
    <row r="4594" spans="1:48" x14ac:dyDescent="0.4">
      <c r="A4594">
        <v>2313007167</v>
      </c>
      <c r="B4594">
        <v>2313007183</v>
      </c>
      <c r="C4594" t="str">
        <f>T("이과생 둘이 회귀했다 17화")</f>
        <v>이과생 둘이 회귀했다 17화</v>
      </c>
      <c r="D4594" t="str">
        <f>T("17")</f>
        <v>17</v>
      </c>
      <c r="E4594" t="str">
        <f t="shared" si="611"/>
        <v>하이후</v>
      </c>
      <c r="H4594" t="str">
        <f t="shared" si="610"/>
        <v>스토리위즈</v>
      </c>
      <c r="I4594" t="str">
        <f t="shared" si="612"/>
        <v>이과생 둘이 회귀했다</v>
      </c>
      <c r="J4594">
        <v>0</v>
      </c>
      <c r="K4594">
        <v>0</v>
      </c>
      <c r="L4594">
        <v>0</v>
      </c>
      <c r="M4594">
        <v>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2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T4594" t="str">
        <f t="shared" si="613"/>
        <v>9791159284632</v>
      </c>
      <c r="AV4594" t="str">
        <f t="shared" si="614"/>
        <v>판타지 웹소설 &gt; 현대 판타지</v>
      </c>
    </row>
    <row r="4595" spans="1:48" x14ac:dyDescent="0.4">
      <c r="A4595">
        <v>2313007167</v>
      </c>
      <c r="B4595">
        <v>2313007184</v>
      </c>
      <c r="C4595" t="str">
        <f>T("이과생 둘이 회귀했다 18화")</f>
        <v>이과생 둘이 회귀했다 18화</v>
      </c>
      <c r="D4595" t="str">
        <f>T("18")</f>
        <v>18</v>
      </c>
      <c r="E4595" t="str">
        <f t="shared" si="611"/>
        <v>하이후</v>
      </c>
      <c r="H4595" t="str">
        <f t="shared" si="610"/>
        <v>스토리위즈</v>
      </c>
      <c r="I4595" t="str">
        <f t="shared" si="612"/>
        <v>이과생 둘이 회귀했다</v>
      </c>
      <c r="J4595">
        <v>0</v>
      </c>
      <c r="K4595">
        <v>0</v>
      </c>
      <c r="L4595">
        <v>0</v>
      </c>
      <c r="M4595">
        <v>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2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T4595" t="str">
        <f t="shared" si="613"/>
        <v>9791159284632</v>
      </c>
      <c r="AV4595" t="str">
        <f t="shared" si="614"/>
        <v>판타지 웹소설 &gt; 현대 판타지</v>
      </c>
    </row>
    <row r="4596" spans="1:48" x14ac:dyDescent="0.4">
      <c r="A4596">
        <v>2313007167</v>
      </c>
      <c r="B4596">
        <v>2313007185</v>
      </c>
      <c r="C4596" t="str">
        <f>T("이과생 둘이 회귀했다 19화")</f>
        <v>이과생 둘이 회귀했다 19화</v>
      </c>
      <c r="D4596" t="str">
        <f>T("19")</f>
        <v>19</v>
      </c>
      <c r="E4596" t="str">
        <f t="shared" si="611"/>
        <v>하이후</v>
      </c>
      <c r="H4596" t="str">
        <f t="shared" si="610"/>
        <v>스토리위즈</v>
      </c>
      <c r="I4596" t="str">
        <f t="shared" si="612"/>
        <v>이과생 둘이 회귀했다</v>
      </c>
      <c r="J4596">
        <v>0</v>
      </c>
      <c r="K4596">
        <v>0</v>
      </c>
      <c r="L4596">
        <v>0</v>
      </c>
      <c r="M4596">
        <v>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2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T4596" t="str">
        <f t="shared" si="613"/>
        <v>9791159284632</v>
      </c>
      <c r="AV4596" t="str">
        <f t="shared" si="614"/>
        <v>판타지 웹소설 &gt; 현대 판타지</v>
      </c>
    </row>
    <row r="4597" spans="1:48" x14ac:dyDescent="0.4">
      <c r="A4597">
        <v>2313007167</v>
      </c>
      <c r="B4597">
        <v>2313007186</v>
      </c>
      <c r="C4597" t="str">
        <f>T("이과생 둘이 회귀했다 20화")</f>
        <v>이과생 둘이 회귀했다 20화</v>
      </c>
      <c r="D4597" t="str">
        <f>T("20")</f>
        <v>20</v>
      </c>
      <c r="E4597" t="str">
        <f t="shared" si="611"/>
        <v>하이후</v>
      </c>
      <c r="H4597" t="str">
        <f t="shared" si="610"/>
        <v>스토리위즈</v>
      </c>
      <c r="I4597" t="str">
        <f t="shared" si="612"/>
        <v>이과생 둘이 회귀했다</v>
      </c>
      <c r="J4597">
        <v>0</v>
      </c>
      <c r="K4597">
        <v>0</v>
      </c>
      <c r="L4597">
        <v>0</v>
      </c>
      <c r="M4597">
        <v>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2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T4597" t="str">
        <f t="shared" si="613"/>
        <v>9791159284632</v>
      </c>
      <c r="AV4597" t="str">
        <f t="shared" si="614"/>
        <v>판타지 웹소설 &gt; 현대 판타지</v>
      </c>
    </row>
    <row r="4598" spans="1:48" x14ac:dyDescent="0.4">
      <c r="A4598">
        <v>2313007167</v>
      </c>
      <c r="B4598">
        <v>2313007187</v>
      </c>
      <c r="C4598" t="str">
        <f>T("이과생 둘이 회귀했다 21화")</f>
        <v>이과생 둘이 회귀했다 21화</v>
      </c>
      <c r="D4598" t="str">
        <f>T("21")</f>
        <v>21</v>
      </c>
      <c r="E4598" t="str">
        <f t="shared" si="611"/>
        <v>하이후</v>
      </c>
      <c r="H4598" t="str">
        <f t="shared" si="610"/>
        <v>스토리위즈</v>
      </c>
      <c r="I4598" t="str">
        <f t="shared" si="612"/>
        <v>이과생 둘이 회귀했다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T4598" t="str">
        <f t="shared" si="613"/>
        <v>9791159284632</v>
      </c>
      <c r="AV4598" t="str">
        <f t="shared" si="614"/>
        <v>판타지 웹소설 &gt; 현대 판타지</v>
      </c>
    </row>
    <row r="4599" spans="1:48" x14ac:dyDescent="0.4">
      <c r="A4599">
        <v>2313007167</v>
      </c>
      <c r="B4599">
        <v>2313007188</v>
      </c>
      <c r="C4599" t="str">
        <f>T("이과생 둘이 회귀했다 22화")</f>
        <v>이과생 둘이 회귀했다 22화</v>
      </c>
      <c r="D4599" t="str">
        <f>T("22")</f>
        <v>22</v>
      </c>
      <c r="E4599" t="str">
        <f t="shared" si="611"/>
        <v>하이후</v>
      </c>
      <c r="H4599" t="str">
        <f t="shared" si="610"/>
        <v>스토리위즈</v>
      </c>
      <c r="I4599" t="str">
        <f t="shared" si="612"/>
        <v>이과생 둘이 회귀했다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T4599" t="str">
        <f t="shared" si="613"/>
        <v>9791159284632</v>
      </c>
      <c r="AV4599" t="str">
        <f t="shared" si="614"/>
        <v>판타지 웹소설 &gt; 현대 판타지</v>
      </c>
    </row>
    <row r="4600" spans="1:48" x14ac:dyDescent="0.4">
      <c r="A4600">
        <v>2313007167</v>
      </c>
      <c r="B4600">
        <v>2313007189</v>
      </c>
      <c r="C4600" t="str">
        <f>T("이과생 둘이 회귀했다 23화")</f>
        <v>이과생 둘이 회귀했다 23화</v>
      </c>
      <c r="D4600" t="str">
        <f>T("23")</f>
        <v>23</v>
      </c>
      <c r="E4600" t="str">
        <f t="shared" si="611"/>
        <v>하이후</v>
      </c>
      <c r="H4600" t="str">
        <f t="shared" si="610"/>
        <v>스토리위즈</v>
      </c>
      <c r="I4600" t="str">
        <f t="shared" si="612"/>
        <v>이과생 둘이 회귀했다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T4600" t="str">
        <f t="shared" si="613"/>
        <v>9791159284632</v>
      </c>
      <c r="AV4600" t="str">
        <f t="shared" si="614"/>
        <v>판타지 웹소설 &gt; 현대 판타지</v>
      </c>
    </row>
    <row r="4601" spans="1:48" x14ac:dyDescent="0.4">
      <c r="A4601">
        <v>2313007167</v>
      </c>
      <c r="B4601">
        <v>2313007190</v>
      </c>
      <c r="C4601" t="str">
        <f>T("이과생 둘이 회귀했다 24화")</f>
        <v>이과생 둘이 회귀했다 24화</v>
      </c>
      <c r="D4601" t="str">
        <f>T("24")</f>
        <v>24</v>
      </c>
      <c r="E4601" t="str">
        <f t="shared" si="611"/>
        <v>하이후</v>
      </c>
      <c r="H4601" t="str">
        <f t="shared" si="610"/>
        <v>스토리위즈</v>
      </c>
      <c r="I4601" t="str">
        <f t="shared" si="612"/>
        <v>이과생 둘이 회귀했다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T4601" t="str">
        <f t="shared" si="613"/>
        <v>9791159284632</v>
      </c>
      <c r="AV4601" t="str">
        <f t="shared" si="614"/>
        <v>판타지 웹소설 &gt; 현대 판타지</v>
      </c>
    </row>
    <row r="4602" spans="1:48" x14ac:dyDescent="0.4">
      <c r="A4602">
        <v>2313007167</v>
      </c>
      <c r="B4602">
        <v>2313007191</v>
      </c>
      <c r="C4602" t="str">
        <f>T("이과생 둘이 회귀했다 25화")</f>
        <v>이과생 둘이 회귀했다 25화</v>
      </c>
      <c r="D4602" t="str">
        <f>T("25")</f>
        <v>25</v>
      </c>
      <c r="E4602" t="str">
        <f t="shared" si="611"/>
        <v>하이후</v>
      </c>
      <c r="H4602" t="str">
        <f t="shared" si="610"/>
        <v>스토리위즈</v>
      </c>
      <c r="I4602" t="str">
        <f t="shared" si="612"/>
        <v>이과생 둘이 회귀했다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T4602" t="str">
        <f t="shared" si="613"/>
        <v>9791159284632</v>
      </c>
      <c r="AV4602" t="str">
        <f t="shared" si="614"/>
        <v>판타지 웹소설 &gt; 현대 판타지</v>
      </c>
    </row>
    <row r="4603" spans="1:48" x14ac:dyDescent="0.4">
      <c r="A4603">
        <v>2313007492</v>
      </c>
      <c r="B4603">
        <v>2313007492</v>
      </c>
      <c r="C4603" t="str">
        <f>T("베놈 마스터 1화")</f>
        <v>베놈 마스터 1화</v>
      </c>
      <c r="D4603" t="str">
        <f>T("1")</f>
        <v>1</v>
      </c>
      <c r="E4603" t="str">
        <f t="shared" ref="E4603:E4627" si="615">T("시계태엽오란씨")</f>
        <v>시계태엽오란씨</v>
      </c>
      <c r="H4603" t="str">
        <f t="shared" si="610"/>
        <v>스토리위즈</v>
      </c>
      <c r="I4603" t="str">
        <f t="shared" ref="I4603:I4627" si="616">T("베놈 마스터")</f>
        <v>베놈 마스터</v>
      </c>
      <c r="J4603">
        <v>0</v>
      </c>
      <c r="K4603">
        <v>0</v>
      </c>
      <c r="L4603">
        <v>0</v>
      </c>
      <c r="M4603">
        <v>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2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T4603" t="str">
        <f t="shared" ref="AT4603:AT4627" si="617">T("9791159288333")</f>
        <v>9791159288333</v>
      </c>
      <c r="AV4603" t="str">
        <f t="shared" si="614"/>
        <v>판타지 웹소설 &gt; 현대 판타지</v>
      </c>
    </row>
    <row r="4604" spans="1:48" x14ac:dyDescent="0.4">
      <c r="A4604">
        <v>2313007492</v>
      </c>
      <c r="B4604">
        <v>2313007493</v>
      </c>
      <c r="C4604" t="str">
        <f>T("베놈 마스터 2화")</f>
        <v>베놈 마스터 2화</v>
      </c>
      <c r="D4604" t="str">
        <f>T("2")</f>
        <v>2</v>
      </c>
      <c r="E4604" t="str">
        <f t="shared" si="615"/>
        <v>시계태엽오란씨</v>
      </c>
      <c r="H4604" t="str">
        <f t="shared" si="610"/>
        <v>스토리위즈</v>
      </c>
      <c r="I4604" t="str">
        <f t="shared" si="616"/>
        <v>베놈 마스터</v>
      </c>
      <c r="J4604">
        <v>0</v>
      </c>
      <c r="K4604">
        <v>0</v>
      </c>
      <c r="L4604">
        <v>0</v>
      </c>
      <c r="M4604">
        <v>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2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T4604" t="str">
        <f t="shared" si="617"/>
        <v>9791159288333</v>
      </c>
      <c r="AV4604" t="str">
        <f t="shared" si="614"/>
        <v>판타지 웹소설 &gt; 현대 판타지</v>
      </c>
    </row>
    <row r="4605" spans="1:48" x14ac:dyDescent="0.4">
      <c r="A4605">
        <v>2313007492</v>
      </c>
      <c r="B4605">
        <v>2313007494</v>
      </c>
      <c r="C4605" t="str">
        <f>T("베놈 마스터 3화")</f>
        <v>베놈 마스터 3화</v>
      </c>
      <c r="D4605" t="str">
        <f>T("3")</f>
        <v>3</v>
      </c>
      <c r="E4605" t="str">
        <f t="shared" si="615"/>
        <v>시계태엽오란씨</v>
      </c>
      <c r="H4605" t="str">
        <f t="shared" si="610"/>
        <v>스토리위즈</v>
      </c>
      <c r="I4605" t="str">
        <f t="shared" si="616"/>
        <v>베놈 마스터</v>
      </c>
      <c r="J4605">
        <v>0</v>
      </c>
      <c r="K4605">
        <v>0</v>
      </c>
      <c r="L4605">
        <v>0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2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T4605" t="str">
        <f t="shared" si="617"/>
        <v>9791159288333</v>
      </c>
      <c r="AV4605" t="str">
        <f t="shared" si="614"/>
        <v>판타지 웹소설 &gt; 현대 판타지</v>
      </c>
    </row>
    <row r="4606" spans="1:48" x14ac:dyDescent="0.4">
      <c r="A4606">
        <v>2313007492</v>
      </c>
      <c r="B4606">
        <v>2313007495</v>
      </c>
      <c r="C4606" t="str">
        <f>T("베놈 마스터 4화")</f>
        <v>베놈 마스터 4화</v>
      </c>
      <c r="D4606" t="str">
        <f>T("4")</f>
        <v>4</v>
      </c>
      <c r="E4606" t="str">
        <f t="shared" si="615"/>
        <v>시계태엽오란씨</v>
      </c>
      <c r="H4606" t="str">
        <f t="shared" si="610"/>
        <v>스토리위즈</v>
      </c>
      <c r="I4606" t="str">
        <f t="shared" si="616"/>
        <v>베놈 마스터</v>
      </c>
      <c r="J4606">
        <v>0</v>
      </c>
      <c r="K4606">
        <v>0</v>
      </c>
      <c r="L4606">
        <v>0</v>
      </c>
      <c r="M4606">
        <v>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2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T4606" t="str">
        <f t="shared" si="617"/>
        <v>9791159288333</v>
      </c>
      <c r="AV4606" t="str">
        <f t="shared" si="614"/>
        <v>판타지 웹소설 &gt; 현대 판타지</v>
      </c>
    </row>
    <row r="4607" spans="1:48" x14ac:dyDescent="0.4">
      <c r="A4607">
        <v>2313007492</v>
      </c>
      <c r="B4607">
        <v>2313007496</v>
      </c>
      <c r="C4607" t="str">
        <f>T("베놈 마스터 5화")</f>
        <v>베놈 마스터 5화</v>
      </c>
      <c r="D4607" t="str">
        <f>T("5")</f>
        <v>5</v>
      </c>
      <c r="E4607" t="str">
        <f t="shared" si="615"/>
        <v>시계태엽오란씨</v>
      </c>
      <c r="H4607" t="str">
        <f t="shared" si="610"/>
        <v>스토리위즈</v>
      </c>
      <c r="I4607" t="str">
        <f t="shared" si="616"/>
        <v>베놈 마스터</v>
      </c>
      <c r="J4607">
        <v>0</v>
      </c>
      <c r="K4607">
        <v>0</v>
      </c>
      <c r="L4607">
        <v>0</v>
      </c>
      <c r="M4607">
        <v>3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3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T4607" t="str">
        <f t="shared" si="617"/>
        <v>9791159288333</v>
      </c>
      <c r="AV4607" t="str">
        <f t="shared" si="614"/>
        <v>판타지 웹소설 &gt; 현대 판타지</v>
      </c>
    </row>
    <row r="4608" spans="1:48" x14ac:dyDescent="0.4">
      <c r="A4608">
        <v>2313007492</v>
      </c>
      <c r="B4608">
        <v>2313007497</v>
      </c>
      <c r="C4608" t="str">
        <f>T("베놈 마스터 6화")</f>
        <v>베놈 마스터 6화</v>
      </c>
      <c r="D4608" t="str">
        <f>T("6")</f>
        <v>6</v>
      </c>
      <c r="E4608" t="str">
        <f t="shared" si="615"/>
        <v>시계태엽오란씨</v>
      </c>
      <c r="H4608" t="str">
        <f t="shared" si="610"/>
        <v>스토리위즈</v>
      </c>
      <c r="I4608" t="str">
        <f t="shared" si="616"/>
        <v>베놈 마스터</v>
      </c>
      <c r="J4608">
        <v>0</v>
      </c>
      <c r="K4608">
        <v>0</v>
      </c>
      <c r="L4608">
        <v>0</v>
      </c>
      <c r="M4608">
        <v>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2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T4608" t="str">
        <f t="shared" si="617"/>
        <v>9791159288333</v>
      </c>
      <c r="AV4608" t="str">
        <f t="shared" si="614"/>
        <v>판타지 웹소설 &gt; 현대 판타지</v>
      </c>
    </row>
    <row r="4609" spans="1:48" x14ac:dyDescent="0.4">
      <c r="A4609">
        <v>2313007492</v>
      </c>
      <c r="B4609">
        <v>2313007498</v>
      </c>
      <c r="C4609" t="str">
        <f>T("베놈 마스터 7화")</f>
        <v>베놈 마스터 7화</v>
      </c>
      <c r="D4609" t="str">
        <f>T("7")</f>
        <v>7</v>
      </c>
      <c r="E4609" t="str">
        <f t="shared" si="615"/>
        <v>시계태엽오란씨</v>
      </c>
      <c r="H4609" t="str">
        <f t="shared" si="610"/>
        <v>스토리위즈</v>
      </c>
      <c r="I4609" t="str">
        <f t="shared" si="616"/>
        <v>베놈 마스터</v>
      </c>
      <c r="J4609">
        <v>0</v>
      </c>
      <c r="K4609">
        <v>0</v>
      </c>
      <c r="L4609">
        <v>0</v>
      </c>
      <c r="M4609">
        <v>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T4609" t="str">
        <f t="shared" si="617"/>
        <v>9791159288333</v>
      </c>
      <c r="AV4609" t="str">
        <f t="shared" si="614"/>
        <v>판타지 웹소설 &gt; 현대 판타지</v>
      </c>
    </row>
    <row r="4610" spans="1:48" x14ac:dyDescent="0.4">
      <c r="A4610">
        <v>2313007492</v>
      </c>
      <c r="B4610">
        <v>2313007499</v>
      </c>
      <c r="C4610" t="str">
        <f>T("베놈 마스터 8화")</f>
        <v>베놈 마스터 8화</v>
      </c>
      <c r="D4610" t="str">
        <f>T("8")</f>
        <v>8</v>
      </c>
      <c r="E4610" t="str">
        <f t="shared" si="615"/>
        <v>시계태엽오란씨</v>
      </c>
      <c r="H4610" t="str">
        <f t="shared" si="610"/>
        <v>스토리위즈</v>
      </c>
      <c r="I4610" t="str">
        <f t="shared" si="616"/>
        <v>베놈 마스터</v>
      </c>
      <c r="J4610">
        <v>0</v>
      </c>
      <c r="K4610">
        <v>0</v>
      </c>
      <c r="L4610">
        <v>0</v>
      </c>
      <c r="M4610">
        <v>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2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T4610" t="str">
        <f t="shared" si="617"/>
        <v>9791159288333</v>
      </c>
      <c r="AV4610" t="str">
        <f t="shared" si="614"/>
        <v>판타지 웹소설 &gt; 현대 판타지</v>
      </c>
    </row>
    <row r="4611" spans="1:48" x14ac:dyDescent="0.4">
      <c r="A4611">
        <v>2313007492</v>
      </c>
      <c r="B4611">
        <v>2313007500</v>
      </c>
      <c r="C4611" t="str">
        <f>T("베놈 마스터 9화")</f>
        <v>베놈 마스터 9화</v>
      </c>
      <c r="D4611" t="str">
        <f>T("9")</f>
        <v>9</v>
      </c>
      <c r="E4611" t="str">
        <f t="shared" si="615"/>
        <v>시계태엽오란씨</v>
      </c>
      <c r="H4611" t="str">
        <f t="shared" si="610"/>
        <v>스토리위즈</v>
      </c>
      <c r="I4611" t="str">
        <f t="shared" si="616"/>
        <v>베놈 마스터</v>
      </c>
      <c r="J4611">
        <v>0</v>
      </c>
      <c r="K4611">
        <v>0</v>
      </c>
      <c r="L4611">
        <v>0</v>
      </c>
      <c r="M4611">
        <v>2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2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T4611" t="str">
        <f t="shared" si="617"/>
        <v>9791159288333</v>
      </c>
      <c r="AV4611" t="str">
        <f t="shared" si="614"/>
        <v>판타지 웹소설 &gt; 현대 판타지</v>
      </c>
    </row>
    <row r="4612" spans="1:48" x14ac:dyDescent="0.4">
      <c r="A4612">
        <v>2313007492</v>
      </c>
      <c r="B4612">
        <v>2313007501</v>
      </c>
      <c r="C4612" t="str">
        <f>T("베놈 마스터 10화")</f>
        <v>베놈 마스터 10화</v>
      </c>
      <c r="D4612" t="str">
        <f>T("10")</f>
        <v>10</v>
      </c>
      <c r="E4612" t="str">
        <f t="shared" si="615"/>
        <v>시계태엽오란씨</v>
      </c>
      <c r="H4612" t="str">
        <f t="shared" si="610"/>
        <v>스토리위즈</v>
      </c>
      <c r="I4612" t="str">
        <f t="shared" si="616"/>
        <v>베놈 마스터</v>
      </c>
      <c r="J4612">
        <v>0</v>
      </c>
      <c r="K4612">
        <v>0</v>
      </c>
      <c r="L4612">
        <v>0</v>
      </c>
      <c r="M4612">
        <v>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2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T4612" t="str">
        <f t="shared" si="617"/>
        <v>9791159288333</v>
      </c>
      <c r="AV4612" t="str">
        <f t="shared" si="614"/>
        <v>판타지 웹소설 &gt; 현대 판타지</v>
      </c>
    </row>
    <row r="4613" spans="1:48" x14ac:dyDescent="0.4">
      <c r="A4613">
        <v>2313007492</v>
      </c>
      <c r="B4613">
        <v>2313007502</v>
      </c>
      <c r="C4613" t="str">
        <f>T("베놈 마스터 11화")</f>
        <v>베놈 마스터 11화</v>
      </c>
      <c r="D4613" t="str">
        <f>T("11")</f>
        <v>11</v>
      </c>
      <c r="E4613" t="str">
        <f t="shared" si="615"/>
        <v>시계태엽오란씨</v>
      </c>
      <c r="H4613" t="str">
        <f t="shared" si="610"/>
        <v>스토리위즈</v>
      </c>
      <c r="I4613" t="str">
        <f t="shared" si="616"/>
        <v>베놈 마스터</v>
      </c>
      <c r="J4613">
        <v>0</v>
      </c>
      <c r="K4613">
        <v>0</v>
      </c>
      <c r="L4613">
        <v>0</v>
      </c>
      <c r="M4613">
        <v>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2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T4613" t="str">
        <f t="shared" si="617"/>
        <v>9791159288333</v>
      </c>
      <c r="AV4613" t="str">
        <f t="shared" si="614"/>
        <v>판타지 웹소설 &gt; 현대 판타지</v>
      </c>
    </row>
    <row r="4614" spans="1:48" x14ac:dyDescent="0.4">
      <c r="A4614">
        <v>2313007492</v>
      </c>
      <c r="B4614">
        <v>2313007503</v>
      </c>
      <c r="C4614" t="str">
        <f>T("베놈 마스터 12화")</f>
        <v>베놈 마스터 12화</v>
      </c>
      <c r="D4614" t="str">
        <f>T("12")</f>
        <v>12</v>
      </c>
      <c r="E4614" t="str">
        <f t="shared" si="615"/>
        <v>시계태엽오란씨</v>
      </c>
      <c r="H4614" t="str">
        <f t="shared" si="610"/>
        <v>스토리위즈</v>
      </c>
      <c r="I4614" t="str">
        <f t="shared" si="616"/>
        <v>베놈 마스터</v>
      </c>
      <c r="J4614">
        <v>0</v>
      </c>
      <c r="K4614">
        <v>0</v>
      </c>
      <c r="L4614">
        <v>0</v>
      </c>
      <c r="M4614">
        <v>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T4614" t="str">
        <f t="shared" si="617"/>
        <v>9791159288333</v>
      </c>
      <c r="AV4614" t="str">
        <f t="shared" si="614"/>
        <v>판타지 웹소설 &gt; 현대 판타지</v>
      </c>
    </row>
    <row r="4615" spans="1:48" x14ac:dyDescent="0.4">
      <c r="A4615">
        <v>2313007492</v>
      </c>
      <c r="B4615">
        <v>2313007504</v>
      </c>
      <c r="C4615" t="str">
        <f>T("베놈 마스터 13화")</f>
        <v>베놈 마스터 13화</v>
      </c>
      <c r="D4615" t="str">
        <f>T("13")</f>
        <v>13</v>
      </c>
      <c r="E4615" t="str">
        <f t="shared" si="615"/>
        <v>시계태엽오란씨</v>
      </c>
      <c r="H4615" t="str">
        <f t="shared" si="610"/>
        <v>스토리위즈</v>
      </c>
      <c r="I4615" t="str">
        <f t="shared" si="616"/>
        <v>베놈 마스터</v>
      </c>
      <c r="J4615">
        <v>0</v>
      </c>
      <c r="K4615">
        <v>0</v>
      </c>
      <c r="L4615">
        <v>0</v>
      </c>
      <c r="M4615">
        <v>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T4615" t="str">
        <f t="shared" si="617"/>
        <v>9791159288333</v>
      </c>
      <c r="AV4615" t="str">
        <f t="shared" si="614"/>
        <v>판타지 웹소설 &gt; 현대 판타지</v>
      </c>
    </row>
    <row r="4616" spans="1:48" x14ac:dyDescent="0.4">
      <c r="A4616">
        <v>2313007492</v>
      </c>
      <c r="B4616">
        <v>2313007505</v>
      </c>
      <c r="C4616" t="str">
        <f>T("베놈 마스터 14화")</f>
        <v>베놈 마스터 14화</v>
      </c>
      <c r="D4616" t="str">
        <f>T("14")</f>
        <v>14</v>
      </c>
      <c r="E4616" t="str">
        <f t="shared" si="615"/>
        <v>시계태엽오란씨</v>
      </c>
      <c r="H4616" t="str">
        <f t="shared" si="610"/>
        <v>스토리위즈</v>
      </c>
      <c r="I4616" t="str">
        <f t="shared" si="616"/>
        <v>베놈 마스터</v>
      </c>
      <c r="J4616">
        <v>0</v>
      </c>
      <c r="K4616">
        <v>0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2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T4616" t="str">
        <f t="shared" si="617"/>
        <v>9791159288333</v>
      </c>
      <c r="AV4616" t="str">
        <f t="shared" si="614"/>
        <v>판타지 웹소설 &gt; 현대 판타지</v>
      </c>
    </row>
    <row r="4617" spans="1:48" x14ac:dyDescent="0.4">
      <c r="A4617">
        <v>2313007492</v>
      </c>
      <c r="B4617">
        <v>2313007506</v>
      </c>
      <c r="C4617" t="str">
        <f>T("베놈 마스터 15화")</f>
        <v>베놈 마스터 15화</v>
      </c>
      <c r="D4617" t="str">
        <f>T("15")</f>
        <v>15</v>
      </c>
      <c r="E4617" t="str">
        <f t="shared" si="615"/>
        <v>시계태엽오란씨</v>
      </c>
      <c r="H4617" t="str">
        <f t="shared" si="610"/>
        <v>스토리위즈</v>
      </c>
      <c r="I4617" t="str">
        <f t="shared" si="616"/>
        <v>베놈 마스터</v>
      </c>
      <c r="J4617">
        <v>0</v>
      </c>
      <c r="K4617">
        <v>0</v>
      </c>
      <c r="L4617">
        <v>0</v>
      </c>
      <c r="M4617">
        <v>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2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T4617" t="str">
        <f t="shared" si="617"/>
        <v>9791159288333</v>
      </c>
      <c r="AV4617" t="str">
        <f t="shared" si="614"/>
        <v>판타지 웹소설 &gt; 현대 판타지</v>
      </c>
    </row>
    <row r="4618" spans="1:48" x14ac:dyDescent="0.4">
      <c r="A4618">
        <v>2313007492</v>
      </c>
      <c r="B4618">
        <v>2313007507</v>
      </c>
      <c r="C4618" t="str">
        <f>T("베놈 마스터 16화")</f>
        <v>베놈 마스터 16화</v>
      </c>
      <c r="D4618" t="str">
        <f>T("16")</f>
        <v>16</v>
      </c>
      <c r="E4618" t="str">
        <f t="shared" si="615"/>
        <v>시계태엽오란씨</v>
      </c>
      <c r="H4618" t="str">
        <f t="shared" si="610"/>
        <v>스토리위즈</v>
      </c>
      <c r="I4618" t="str">
        <f t="shared" si="616"/>
        <v>베놈 마스터</v>
      </c>
      <c r="J4618">
        <v>0</v>
      </c>
      <c r="K4618">
        <v>0</v>
      </c>
      <c r="L4618">
        <v>0</v>
      </c>
      <c r="M4618">
        <v>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T4618" t="str">
        <f t="shared" si="617"/>
        <v>9791159288333</v>
      </c>
      <c r="AV4618" t="str">
        <f t="shared" si="614"/>
        <v>판타지 웹소설 &gt; 현대 판타지</v>
      </c>
    </row>
    <row r="4619" spans="1:48" x14ac:dyDescent="0.4">
      <c r="A4619">
        <v>2313007492</v>
      </c>
      <c r="B4619">
        <v>2313007508</v>
      </c>
      <c r="C4619" t="str">
        <f>T("베놈 마스터 17화")</f>
        <v>베놈 마스터 17화</v>
      </c>
      <c r="D4619" t="str">
        <f>T("17")</f>
        <v>17</v>
      </c>
      <c r="E4619" t="str">
        <f t="shared" si="615"/>
        <v>시계태엽오란씨</v>
      </c>
      <c r="H4619" t="str">
        <f t="shared" si="610"/>
        <v>스토리위즈</v>
      </c>
      <c r="I4619" t="str">
        <f t="shared" si="616"/>
        <v>베놈 마스터</v>
      </c>
      <c r="J4619">
        <v>0</v>
      </c>
      <c r="K4619">
        <v>0</v>
      </c>
      <c r="L4619">
        <v>0</v>
      </c>
      <c r="M4619">
        <v>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T4619" t="str">
        <f t="shared" si="617"/>
        <v>9791159288333</v>
      </c>
      <c r="AV4619" t="str">
        <f t="shared" si="614"/>
        <v>판타지 웹소설 &gt; 현대 판타지</v>
      </c>
    </row>
    <row r="4620" spans="1:48" x14ac:dyDescent="0.4">
      <c r="A4620">
        <v>2313007492</v>
      </c>
      <c r="B4620">
        <v>2313007509</v>
      </c>
      <c r="C4620" t="str">
        <f>T("베놈 마스터 18화")</f>
        <v>베놈 마스터 18화</v>
      </c>
      <c r="D4620" t="str">
        <f>T("18")</f>
        <v>18</v>
      </c>
      <c r="E4620" t="str">
        <f t="shared" si="615"/>
        <v>시계태엽오란씨</v>
      </c>
      <c r="H4620" t="str">
        <f t="shared" si="610"/>
        <v>스토리위즈</v>
      </c>
      <c r="I4620" t="str">
        <f t="shared" si="616"/>
        <v>베놈 마스터</v>
      </c>
      <c r="J4620">
        <v>0</v>
      </c>
      <c r="K4620">
        <v>0</v>
      </c>
      <c r="L4620">
        <v>0</v>
      </c>
      <c r="M4620">
        <v>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T4620" t="str">
        <f t="shared" si="617"/>
        <v>9791159288333</v>
      </c>
      <c r="AV4620" t="str">
        <f t="shared" si="614"/>
        <v>판타지 웹소설 &gt; 현대 판타지</v>
      </c>
    </row>
    <row r="4621" spans="1:48" x14ac:dyDescent="0.4">
      <c r="A4621">
        <v>2313007492</v>
      </c>
      <c r="B4621">
        <v>2313007510</v>
      </c>
      <c r="C4621" t="str">
        <f>T("베놈 마스터 19화")</f>
        <v>베놈 마스터 19화</v>
      </c>
      <c r="D4621" t="str">
        <f>T("19")</f>
        <v>19</v>
      </c>
      <c r="E4621" t="str">
        <f t="shared" si="615"/>
        <v>시계태엽오란씨</v>
      </c>
      <c r="H4621" t="str">
        <f t="shared" si="610"/>
        <v>스토리위즈</v>
      </c>
      <c r="I4621" t="str">
        <f t="shared" si="616"/>
        <v>베놈 마스터</v>
      </c>
      <c r="J4621">
        <v>0</v>
      </c>
      <c r="K4621">
        <v>0</v>
      </c>
      <c r="L4621">
        <v>0</v>
      </c>
      <c r="M4621">
        <v>2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T4621" t="str">
        <f t="shared" si="617"/>
        <v>9791159288333</v>
      </c>
      <c r="AV4621" t="str">
        <f t="shared" si="614"/>
        <v>판타지 웹소설 &gt; 현대 판타지</v>
      </c>
    </row>
    <row r="4622" spans="1:48" x14ac:dyDescent="0.4">
      <c r="A4622">
        <v>2313007492</v>
      </c>
      <c r="B4622">
        <v>2313007511</v>
      </c>
      <c r="C4622" t="str">
        <f>T("베놈 마스터 20화")</f>
        <v>베놈 마스터 20화</v>
      </c>
      <c r="D4622" t="str">
        <f>T("20")</f>
        <v>20</v>
      </c>
      <c r="E4622" t="str">
        <f t="shared" si="615"/>
        <v>시계태엽오란씨</v>
      </c>
      <c r="H4622" t="str">
        <f t="shared" si="610"/>
        <v>스토리위즈</v>
      </c>
      <c r="I4622" t="str">
        <f t="shared" si="616"/>
        <v>베놈 마스터</v>
      </c>
      <c r="J4622">
        <v>0</v>
      </c>
      <c r="K4622">
        <v>0</v>
      </c>
      <c r="L4622">
        <v>0</v>
      </c>
      <c r="M4622">
        <v>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2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T4622" t="str">
        <f t="shared" si="617"/>
        <v>9791159288333</v>
      </c>
      <c r="AV4622" t="str">
        <f t="shared" si="614"/>
        <v>판타지 웹소설 &gt; 현대 판타지</v>
      </c>
    </row>
    <row r="4623" spans="1:48" x14ac:dyDescent="0.4">
      <c r="A4623">
        <v>2313007492</v>
      </c>
      <c r="B4623">
        <v>2313007512</v>
      </c>
      <c r="C4623" t="str">
        <f>T("베놈 마스터 21화")</f>
        <v>베놈 마스터 21화</v>
      </c>
      <c r="D4623" t="str">
        <f>T("21")</f>
        <v>21</v>
      </c>
      <c r="E4623" t="str">
        <f t="shared" si="615"/>
        <v>시계태엽오란씨</v>
      </c>
      <c r="H4623" t="str">
        <f t="shared" si="610"/>
        <v>스토리위즈</v>
      </c>
      <c r="I4623" t="str">
        <f t="shared" si="616"/>
        <v>베놈 마스터</v>
      </c>
      <c r="J4623">
        <v>0</v>
      </c>
      <c r="K4623">
        <v>0</v>
      </c>
      <c r="L4623">
        <v>0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2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T4623" t="str">
        <f t="shared" si="617"/>
        <v>9791159288333</v>
      </c>
      <c r="AV4623" t="str">
        <f t="shared" si="614"/>
        <v>판타지 웹소설 &gt; 현대 판타지</v>
      </c>
    </row>
    <row r="4624" spans="1:48" x14ac:dyDescent="0.4">
      <c r="A4624">
        <v>2313007492</v>
      </c>
      <c r="B4624">
        <v>2313007513</v>
      </c>
      <c r="C4624" t="str">
        <f>T("베놈 마스터 22화")</f>
        <v>베놈 마스터 22화</v>
      </c>
      <c r="D4624" t="str">
        <f>T("22")</f>
        <v>22</v>
      </c>
      <c r="E4624" t="str">
        <f t="shared" si="615"/>
        <v>시계태엽오란씨</v>
      </c>
      <c r="H4624" t="str">
        <f t="shared" si="610"/>
        <v>스토리위즈</v>
      </c>
      <c r="I4624" t="str">
        <f t="shared" si="616"/>
        <v>베놈 마스터</v>
      </c>
      <c r="J4624">
        <v>0</v>
      </c>
      <c r="K4624">
        <v>0</v>
      </c>
      <c r="L4624">
        <v>0</v>
      </c>
      <c r="M4624">
        <v>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2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T4624" t="str">
        <f t="shared" si="617"/>
        <v>9791159288333</v>
      </c>
      <c r="AV4624" t="str">
        <f t="shared" si="614"/>
        <v>판타지 웹소설 &gt; 현대 판타지</v>
      </c>
    </row>
    <row r="4625" spans="1:48" x14ac:dyDescent="0.4">
      <c r="A4625">
        <v>2313007492</v>
      </c>
      <c r="B4625">
        <v>2313007514</v>
      </c>
      <c r="C4625" t="str">
        <f>T("베놈 마스터 23화")</f>
        <v>베놈 마스터 23화</v>
      </c>
      <c r="D4625" t="str">
        <f>T("23")</f>
        <v>23</v>
      </c>
      <c r="E4625" t="str">
        <f t="shared" si="615"/>
        <v>시계태엽오란씨</v>
      </c>
      <c r="H4625" t="str">
        <f t="shared" si="610"/>
        <v>스토리위즈</v>
      </c>
      <c r="I4625" t="str">
        <f t="shared" si="616"/>
        <v>베놈 마스터</v>
      </c>
      <c r="J4625">
        <v>0</v>
      </c>
      <c r="K4625">
        <v>0</v>
      </c>
      <c r="L4625">
        <v>0</v>
      </c>
      <c r="M4625">
        <v>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2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T4625" t="str">
        <f t="shared" si="617"/>
        <v>9791159288333</v>
      </c>
      <c r="AV4625" t="str">
        <f t="shared" si="614"/>
        <v>판타지 웹소설 &gt; 현대 판타지</v>
      </c>
    </row>
    <row r="4626" spans="1:48" x14ac:dyDescent="0.4">
      <c r="A4626">
        <v>2313007492</v>
      </c>
      <c r="B4626">
        <v>2313007515</v>
      </c>
      <c r="C4626" t="str">
        <f>T("베놈 마스터 24화")</f>
        <v>베놈 마스터 24화</v>
      </c>
      <c r="D4626" t="str">
        <f>T("24")</f>
        <v>24</v>
      </c>
      <c r="E4626" t="str">
        <f t="shared" si="615"/>
        <v>시계태엽오란씨</v>
      </c>
      <c r="H4626" t="str">
        <f t="shared" si="610"/>
        <v>스토리위즈</v>
      </c>
      <c r="I4626" t="str">
        <f t="shared" si="616"/>
        <v>베놈 마스터</v>
      </c>
      <c r="J4626">
        <v>0</v>
      </c>
      <c r="K4626">
        <v>0</v>
      </c>
      <c r="L4626">
        <v>0</v>
      </c>
      <c r="M4626">
        <v>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2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T4626" t="str">
        <f t="shared" si="617"/>
        <v>9791159288333</v>
      </c>
      <c r="AV4626" t="str">
        <f t="shared" si="614"/>
        <v>판타지 웹소설 &gt; 현대 판타지</v>
      </c>
    </row>
    <row r="4627" spans="1:48" x14ac:dyDescent="0.4">
      <c r="A4627">
        <v>2313007492</v>
      </c>
      <c r="B4627">
        <v>2313007516</v>
      </c>
      <c r="C4627" t="str">
        <f>T("베놈 마스터 25화")</f>
        <v>베놈 마스터 25화</v>
      </c>
      <c r="D4627" t="str">
        <f>T("25")</f>
        <v>25</v>
      </c>
      <c r="E4627" t="str">
        <f t="shared" si="615"/>
        <v>시계태엽오란씨</v>
      </c>
      <c r="H4627" t="str">
        <f t="shared" si="610"/>
        <v>스토리위즈</v>
      </c>
      <c r="I4627" t="str">
        <f t="shared" si="616"/>
        <v>베놈 마스터</v>
      </c>
      <c r="J4627">
        <v>0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2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T4627" t="str">
        <f t="shared" si="617"/>
        <v>9791159288333</v>
      </c>
      <c r="AV4627" t="str">
        <f t="shared" si="614"/>
        <v>판타지 웹소설 &gt; 현대 판타지</v>
      </c>
    </row>
    <row r="4628" spans="1:48" x14ac:dyDescent="0.4">
      <c r="A4628">
        <v>2313007668</v>
      </c>
      <c r="B4628">
        <v>2313007668</v>
      </c>
      <c r="C4628" t="str">
        <f>T("[e북]벨라트릭스 1권")</f>
        <v>[e북]벨라트릭스 1권</v>
      </c>
      <c r="D4628" t="str">
        <f>T("1")</f>
        <v>1</v>
      </c>
      <c r="E4628" t="str">
        <f>T("vvk")</f>
        <v>vvk</v>
      </c>
      <c r="H4628" t="str">
        <f t="shared" si="610"/>
        <v>스토리위즈</v>
      </c>
      <c r="I4628" t="str">
        <f>T("[e북]벨라트릭스")</f>
        <v>[e북]벨라트릭스</v>
      </c>
      <c r="J4628">
        <v>0</v>
      </c>
      <c r="K4628">
        <v>0</v>
      </c>
      <c r="L4628">
        <v>0</v>
      </c>
      <c r="M4628">
        <v>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2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T4628" t="str">
        <f>T("9791159283970")</f>
        <v>9791159283970</v>
      </c>
      <c r="AV4628" t="str">
        <f>T("판타지 e북 &gt; 퓨전 판타지")</f>
        <v>판타지 e북 &gt; 퓨전 판타지</v>
      </c>
    </row>
    <row r="4629" spans="1:48" x14ac:dyDescent="0.4">
      <c r="A4629">
        <v>2313007845</v>
      </c>
      <c r="B4629">
        <v>2313007845</v>
      </c>
      <c r="C4629" t="str">
        <f>T("간신이 나라를 살림 1화")</f>
        <v>간신이 나라를 살림 1화</v>
      </c>
      <c r="D4629" t="str">
        <f>T("1")</f>
        <v>1</v>
      </c>
      <c r="E4629" t="str">
        <f t="shared" ref="E4629:E4653" si="618">T("루이세")</f>
        <v>루이세</v>
      </c>
      <c r="H4629" t="str">
        <f t="shared" si="610"/>
        <v>스토리위즈</v>
      </c>
      <c r="I4629" t="str">
        <f t="shared" ref="I4629:I4653" si="619">T("간신이 나라를 살림")</f>
        <v>간신이 나라를 살림</v>
      </c>
      <c r="J4629">
        <v>0</v>
      </c>
      <c r="K4629">
        <v>0</v>
      </c>
      <c r="L4629">
        <v>0</v>
      </c>
      <c r="M4629">
        <v>2620</v>
      </c>
      <c r="N4629">
        <v>0</v>
      </c>
      <c r="O4629">
        <v>0</v>
      </c>
      <c r="P4629">
        <v>594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18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3214</v>
      </c>
      <c r="AI4629">
        <v>0</v>
      </c>
      <c r="AJ4629">
        <v>18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T4629" t="str">
        <f t="shared" ref="AT4629:AT4653" si="620">T("9791159284663")</f>
        <v>9791159284663</v>
      </c>
      <c r="AV4629" t="str">
        <f t="shared" ref="AV4629:AV4678" si="621">T("판타지 웹소설 &gt; 퓨전 판타지")</f>
        <v>판타지 웹소설 &gt; 퓨전 판타지</v>
      </c>
    </row>
    <row r="4630" spans="1:48" x14ac:dyDescent="0.4">
      <c r="A4630">
        <v>2313007845</v>
      </c>
      <c r="B4630">
        <v>2313007846</v>
      </c>
      <c r="C4630" t="str">
        <f>T("간신이 나라를 살림 2화")</f>
        <v>간신이 나라를 살림 2화</v>
      </c>
      <c r="D4630" t="str">
        <f>T("2")</f>
        <v>2</v>
      </c>
      <c r="E4630" t="str">
        <f t="shared" si="618"/>
        <v>루이세</v>
      </c>
      <c r="H4630" t="str">
        <f t="shared" si="610"/>
        <v>스토리위즈</v>
      </c>
      <c r="I4630" t="str">
        <f t="shared" si="619"/>
        <v>간신이 나라를 살림</v>
      </c>
      <c r="J4630">
        <v>0</v>
      </c>
      <c r="K4630">
        <v>0</v>
      </c>
      <c r="L4630">
        <v>0</v>
      </c>
      <c r="M4630">
        <v>856</v>
      </c>
      <c r="N4630">
        <v>0</v>
      </c>
      <c r="O4630">
        <v>0</v>
      </c>
      <c r="P4630">
        <v>122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18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978</v>
      </c>
      <c r="AI4630">
        <v>0</v>
      </c>
      <c r="AJ4630">
        <v>18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T4630" t="str">
        <f t="shared" si="620"/>
        <v>9791159284663</v>
      </c>
      <c r="AV4630" t="str">
        <f t="shared" si="621"/>
        <v>판타지 웹소설 &gt; 퓨전 판타지</v>
      </c>
    </row>
    <row r="4631" spans="1:48" x14ac:dyDescent="0.4">
      <c r="A4631">
        <v>2313007845</v>
      </c>
      <c r="B4631">
        <v>2313007847</v>
      </c>
      <c r="C4631" t="str">
        <f>T("간신이 나라를 살림 3화")</f>
        <v>간신이 나라를 살림 3화</v>
      </c>
      <c r="D4631" t="str">
        <f>T("3")</f>
        <v>3</v>
      </c>
      <c r="E4631" t="str">
        <f t="shared" si="618"/>
        <v>루이세</v>
      </c>
      <c r="H4631" t="str">
        <f t="shared" si="610"/>
        <v>스토리위즈</v>
      </c>
      <c r="I4631" t="str">
        <f t="shared" si="619"/>
        <v>간신이 나라를 살림</v>
      </c>
      <c r="J4631">
        <v>0</v>
      </c>
      <c r="K4631">
        <v>0</v>
      </c>
      <c r="L4631">
        <v>0</v>
      </c>
      <c r="M4631">
        <v>619</v>
      </c>
      <c r="N4631">
        <v>0</v>
      </c>
      <c r="O4631">
        <v>0</v>
      </c>
      <c r="P4631">
        <v>102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18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721</v>
      </c>
      <c r="AI4631">
        <v>0</v>
      </c>
      <c r="AJ4631">
        <v>19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T4631" t="str">
        <f t="shared" si="620"/>
        <v>9791159284663</v>
      </c>
      <c r="AV4631" t="str">
        <f t="shared" si="621"/>
        <v>판타지 웹소설 &gt; 퓨전 판타지</v>
      </c>
    </row>
    <row r="4632" spans="1:48" x14ac:dyDescent="0.4">
      <c r="A4632">
        <v>2313007845</v>
      </c>
      <c r="B4632">
        <v>2313007848</v>
      </c>
      <c r="C4632" t="str">
        <f>T("간신이 나라를 살림 4화")</f>
        <v>간신이 나라를 살림 4화</v>
      </c>
      <c r="D4632" t="str">
        <f>T("4")</f>
        <v>4</v>
      </c>
      <c r="E4632" t="str">
        <f t="shared" si="618"/>
        <v>루이세</v>
      </c>
      <c r="H4632" t="str">
        <f t="shared" si="610"/>
        <v>스토리위즈</v>
      </c>
      <c r="I4632" t="str">
        <f t="shared" si="619"/>
        <v>간신이 나라를 살림</v>
      </c>
      <c r="J4632">
        <v>0</v>
      </c>
      <c r="K4632">
        <v>0</v>
      </c>
      <c r="L4632">
        <v>0</v>
      </c>
      <c r="M4632">
        <v>507</v>
      </c>
      <c r="N4632">
        <v>0</v>
      </c>
      <c r="O4632">
        <v>0</v>
      </c>
      <c r="P4632">
        <v>96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18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603</v>
      </c>
      <c r="AI4632">
        <v>0</v>
      </c>
      <c r="AJ4632">
        <v>19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T4632" t="str">
        <f t="shared" si="620"/>
        <v>9791159284663</v>
      </c>
      <c r="AV4632" t="str">
        <f t="shared" si="621"/>
        <v>판타지 웹소설 &gt; 퓨전 판타지</v>
      </c>
    </row>
    <row r="4633" spans="1:48" x14ac:dyDescent="0.4">
      <c r="A4633">
        <v>2313007845</v>
      </c>
      <c r="B4633">
        <v>2313007849</v>
      </c>
      <c r="C4633" t="str">
        <f>T("간신이 나라를 살림 5화")</f>
        <v>간신이 나라를 살림 5화</v>
      </c>
      <c r="D4633" t="str">
        <f>T("5")</f>
        <v>5</v>
      </c>
      <c r="E4633" t="str">
        <f t="shared" si="618"/>
        <v>루이세</v>
      </c>
      <c r="H4633" t="str">
        <f t="shared" si="610"/>
        <v>스토리위즈</v>
      </c>
      <c r="I4633" t="str">
        <f t="shared" si="619"/>
        <v>간신이 나라를 살림</v>
      </c>
      <c r="J4633">
        <v>0</v>
      </c>
      <c r="K4633">
        <v>0</v>
      </c>
      <c r="L4633">
        <v>0</v>
      </c>
      <c r="M4633">
        <v>467</v>
      </c>
      <c r="N4633">
        <v>0</v>
      </c>
      <c r="O4633">
        <v>0</v>
      </c>
      <c r="P4633">
        <v>98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18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565</v>
      </c>
      <c r="AI4633">
        <v>0</v>
      </c>
      <c r="AJ4633">
        <v>19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T4633" t="str">
        <f t="shared" si="620"/>
        <v>9791159284663</v>
      </c>
      <c r="AV4633" t="str">
        <f t="shared" si="621"/>
        <v>판타지 웹소설 &gt; 퓨전 판타지</v>
      </c>
    </row>
    <row r="4634" spans="1:48" x14ac:dyDescent="0.4">
      <c r="A4634">
        <v>2313007845</v>
      </c>
      <c r="B4634">
        <v>2313007850</v>
      </c>
      <c r="C4634" t="str">
        <f>T("간신이 나라를 살림 6화")</f>
        <v>간신이 나라를 살림 6화</v>
      </c>
      <c r="D4634" t="str">
        <f>T("6")</f>
        <v>6</v>
      </c>
      <c r="E4634" t="str">
        <f t="shared" si="618"/>
        <v>루이세</v>
      </c>
      <c r="H4634" t="str">
        <f t="shared" si="610"/>
        <v>스토리위즈</v>
      </c>
      <c r="I4634" t="str">
        <f t="shared" si="619"/>
        <v>간신이 나라를 살림</v>
      </c>
      <c r="J4634">
        <v>0</v>
      </c>
      <c r="K4634">
        <v>0</v>
      </c>
      <c r="L4634">
        <v>0</v>
      </c>
      <c r="M4634">
        <v>350</v>
      </c>
      <c r="N4634">
        <v>0</v>
      </c>
      <c r="O4634">
        <v>0</v>
      </c>
      <c r="P4634">
        <v>89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18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439</v>
      </c>
      <c r="AI4634">
        <v>0</v>
      </c>
      <c r="AJ4634">
        <v>19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T4634" t="str">
        <f t="shared" si="620"/>
        <v>9791159284663</v>
      </c>
      <c r="AV4634" t="str">
        <f t="shared" si="621"/>
        <v>판타지 웹소설 &gt; 퓨전 판타지</v>
      </c>
    </row>
    <row r="4635" spans="1:48" x14ac:dyDescent="0.4">
      <c r="A4635">
        <v>2313007845</v>
      </c>
      <c r="B4635">
        <v>2313007851</v>
      </c>
      <c r="C4635" t="str">
        <f>T("간신이 나라를 살림 7화")</f>
        <v>간신이 나라를 살림 7화</v>
      </c>
      <c r="D4635" t="str">
        <f>T("7")</f>
        <v>7</v>
      </c>
      <c r="E4635" t="str">
        <f t="shared" si="618"/>
        <v>루이세</v>
      </c>
      <c r="H4635" t="str">
        <f t="shared" si="610"/>
        <v>스토리위즈</v>
      </c>
      <c r="I4635" t="str">
        <f t="shared" si="619"/>
        <v>간신이 나라를 살림</v>
      </c>
      <c r="J4635">
        <v>0</v>
      </c>
      <c r="K4635">
        <v>0</v>
      </c>
      <c r="L4635">
        <v>0</v>
      </c>
      <c r="M4635">
        <v>320</v>
      </c>
      <c r="N4635">
        <v>0</v>
      </c>
      <c r="O4635">
        <v>0</v>
      </c>
      <c r="P4635">
        <v>84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18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404</v>
      </c>
      <c r="AI4635">
        <v>0</v>
      </c>
      <c r="AJ4635">
        <v>19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T4635" t="str">
        <f t="shared" si="620"/>
        <v>9791159284663</v>
      </c>
      <c r="AV4635" t="str">
        <f t="shared" si="621"/>
        <v>판타지 웹소설 &gt; 퓨전 판타지</v>
      </c>
    </row>
    <row r="4636" spans="1:48" x14ac:dyDescent="0.4">
      <c r="A4636">
        <v>2313007845</v>
      </c>
      <c r="B4636">
        <v>2313007852</v>
      </c>
      <c r="C4636" t="str">
        <f>T("간신이 나라를 살림 8화")</f>
        <v>간신이 나라를 살림 8화</v>
      </c>
      <c r="D4636" t="str">
        <f>T("8")</f>
        <v>8</v>
      </c>
      <c r="E4636" t="str">
        <f t="shared" si="618"/>
        <v>루이세</v>
      </c>
      <c r="H4636" t="str">
        <f t="shared" si="610"/>
        <v>스토리위즈</v>
      </c>
      <c r="I4636" t="str">
        <f t="shared" si="619"/>
        <v>간신이 나라를 살림</v>
      </c>
      <c r="J4636">
        <v>0</v>
      </c>
      <c r="K4636">
        <v>0</v>
      </c>
      <c r="L4636">
        <v>0</v>
      </c>
      <c r="M4636">
        <v>314</v>
      </c>
      <c r="N4636">
        <v>0</v>
      </c>
      <c r="O4636">
        <v>0</v>
      </c>
      <c r="P4636">
        <v>84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18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398</v>
      </c>
      <c r="AI4636">
        <v>0</v>
      </c>
      <c r="AJ4636">
        <v>19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T4636" t="str">
        <f t="shared" si="620"/>
        <v>9791159284663</v>
      </c>
      <c r="AV4636" t="str">
        <f t="shared" si="621"/>
        <v>판타지 웹소설 &gt; 퓨전 판타지</v>
      </c>
    </row>
    <row r="4637" spans="1:48" x14ac:dyDescent="0.4">
      <c r="A4637">
        <v>2313007845</v>
      </c>
      <c r="B4637">
        <v>2313007853</v>
      </c>
      <c r="C4637" t="str">
        <f>T("간신이 나라를 살림 9화")</f>
        <v>간신이 나라를 살림 9화</v>
      </c>
      <c r="D4637" t="str">
        <f>T("9")</f>
        <v>9</v>
      </c>
      <c r="E4637" t="str">
        <f t="shared" si="618"/>
        <v>루이세</v>
      </c>
      <c r="H4637" t="str">
        <f t="shared" si="610"/>
        <v>스토리위즈</v>
      </c>
      <c r="I4637" t="str">
        <f t="shared" si="619"/>
        <v>간신이 나라를 살림</v>
      </c>
      <c r="J4637">
        <v>0</v>
      </c>
      <c r="K4637">
        <v>0</v>
      </c>
      <c r="L4637">
        <v>0</v>
      </c>
      <c r="M4637">
        <v>307</v>
      </c>
      <c r="N4637">
        <v>0</v>
      </c>
      <c r="O4637">
        <v>0</v>
      </c>
      <c r="P4637">
        <v>83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18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390</v>
      </c>
      <c r="AI4637">
        <v>0</v>
      </c>
      <c r="AJ4637">
        <v>19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T4637" t="str">
        <f t="shared" si="620"/>
        <v>9791159284663</v>
      </c>
      <c r="AV4637" t="str">
        <f t="shared" si="621"/>
        <v>판타지 웹소설 &gt; 퓨전 판타지</v>
      </c>
    </row>
    <row r="4638" spans="1:48" x14ac:dyDescent="0.4">
      <c r="A4638">
        <v>2313007845</v>
      </c>
      <c r="B4638">
        <v>2313007854</v>
      </c>
      <c r="C4638" t="str">
        <f>T("간신이 나라를 살림 10화")</f>
        <v>간신이 나라를 살림 10화</v>
      </c>
      <c r="D4638" t="str">
        <f>T("10")</f>
        <v>10</v>
      </c>
      <c r="E4638" t="str">
        <f t="shared" si="618"/>
        <v>루이세</v>
      </c>
      <c r="H4638" t="str">
        <f t="shared" si="610"/>
        <v>스토리위즈</v>
      </c>
      <c r="I4638" t="str">
        <f t="shared" si="619"/>
        <v>간신이 나라를 살림</v>
      </c>
      <c r="J4638">
        <v>0</v>
      </c>
      <c r="K4638">
        <v>0</v>
      </c>
      <c r="L4638">
        <v>0</v>
      </c>
      <c r="M4638">
        <v>296</v>
      </c>
      <c r="N4638">
        <v>0</v>
      </c>
      <c r="O4638">
        <v>0</v>
      </c>
      <c r="P4638">
        <v>83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18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379</v>
      </c>
      <c r="AI4638">
        <v>0</v>
      </c>
      <c r="AJ4638">
        <v>19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T4638" t="str">
        <f t="shared" si="620"/>
        <v>9791159284663</v>
      </c>
      <c r="AV4638" t="str">
        <f t="shared" si="621"/>
        <v>판타지 웹소설 &gt; 퓨전 판타지</v>
      </c>
    </row>
    <row r="4639" spans="1:48" x14ac:dyDescent="0.4">
      <c r="A4639">
        <v>2313007845</v>
      </c>
      <c r="B4639">
        <v>2313007855</v>
      </c>
      <c r="C4639" t="str">
        <f>T("간신이 나라를 살림 11화")</f>
        <v>간신이 나라를 살림 11화</v>
      </c>
      <c r="D4639" t="str">
        <f>T("11")</f>
        <v>11</v>
      </c>
      <c r="E4639" t="str">
        <f t="shared" si="618"/>
        <v>루이세</v>
      </c>
      <c r="H4639" t="str">
        <f t="shared" ref="H4639:H4702" si="622">T("스토리위즈")</f>
        <v>스토리위즈</v>
      </c>
      <c r="I4639" t="str">
        <f t="shared" si="619"/>
        <v>간신이 나라를 살림</v>
      </c>
      <c r="J4639">
        <v>0</v>
      </c>
      <c r="K4639">
        <v>0</v>
      </c>
      <c r="L4639">
        <v>0</v>
      </c>
      <c r="M4639">
        <v>281</v>
      </c>
      <c r="N4639">
        <v>0</v>
      </c>
      <c r="O4639">
        <v>0</v>
      </c>
      <c r="P4639">
        <v>79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18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360</v>
      </c>
      <c r="AI4639">
        <v>0</v>
      </c>
      <c r="AJ4639">
        <v>19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T4639" t="str">
        <f t="shared" si="620"/>
        <v>9791159284663</v>
      </c>
      <c r="AV4639" t="str">
        <f t="shared" si="621"/>
        <v>판타지 웹소설 &gt; 퓨전 판타지</v>
      </c>
    </row>
    <row r="4640" spans="1:48" x14ac:dyDescent="0.4">
      <c r="A4640">
        <v>2313007845</v>
      </c>
      <c r="B4640">
        <v>2313007856</v>
      </c>
      <c r="C4640" t="str">
        <f>T("간신이 나라를 살림 12화")</f>
        <v>간신이 나라를 살림 12화</v>
      </c>
      <c r="D4640" t="str">
        <f>T("12")</f>
        <v>12</v>
      </c>
      <c r="E4640" t="str">
        <f t="shared" si="618"/>
        <v>루이세</v>
      </c>
      <c r="H4640" t="str">
        <f t="shared" si="622"/>
        <v>스토리위즈</v>
      </c>
      <c r="I4640" t="str">
        <f t="shared" si="619"/>
        <v>간신이 나라를 살림</v>
      </c>
      <c r="J4640">
        <v>0</v>
      </c>
      <c r="K4640">
        <v>0</v>
      </c>
      <c r="L4640">
        <v>0</v>
      </c>
      <c r="M4640">
        <v>273</v>
      </c>
      <c r="N4640">
        <v>0</v>
      </c>
      <c r="O4640">
        <v>0</v>
      </c>
      <c r="P4640">
        <v>80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18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353</v>
      </c>
      <c r="AI4640">
        <v>0</v>
      </c>
      <c r="AJ4640">
        <v>19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T4640" t="str">
        <f t="shared" si="620"/>
        <v>9791159284663</v>
      </c>
      <c r="AV4640" t="str">
        <f t="shared" si="621"/>
        <v>판타지 웹소설 &gt; 퓨전 판타지</v>
      </c>
    </row>
    <row r="4641" spans="1:48" x14ac:dyDescent="0.4">
      <c r="A4641">
        <v>2313007845</v>
      </c>
      <c r="B4641">
        <v>2313007857</v>
      </c>
      <c r="C4641" t="str">
        <f>T("간신이 나라를 살림 13화")</f>
        <v>간신이 나라를 살림 13화</v>
      </c>
      <c r="D4641" t="str">
        <f>T("13")</f>
        <v>13</v>
      </c>
      <c r="E4641" t="str">
        <f t="shared" si="618"/>
        <v>루이세</v>
      </c>
      <c r="H4641" t="str">
        <f t="shared" si="622"/>
        <v>스토리위즈</v>
      </c>
      <c r="I4641" t="str">
        <f t="shared" si="619"/>
        <v>간신이 나라를 살림</v>
      </c>
      <c r="J4641">
        <v>0</v>
      </c>
      <c r="K4641">
        <v>0</v>
      </c>
      <c r="L4641">
        <v>0</v>
      </c>
      <c r="M4641">
        <v>273</v>
      </c>
      <c r="N4641">
        <v>0</v>
      </c>
      <c r="O4641">
        <v>0</v>
      </c>
      <c r="P4641">
        <v>79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18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352</v>
      </c>
      <c r="AI4641">
        <v>0</v>
      </c>
      <c r="AJ4641">
        <v>19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T4641" t="str">
        <f t="shared" si="620"/>
        <v>9791159284663</v>
      </c>
      <c r="AV4641" t="str">
        <f t="shared" si="621"/>
        <v>판타지 웹소설 &gt; 퓨전 판타지</v>
      </c>
    </row>
    <row r="4642" spans="1:48" x14ac:dyDescent="0.4">
      <c r="A4642">
        <v>2313007845</v>
      </c>
      <c r="B4642">
        <v>2313007858</v>
      </c>
      <c r="C4642" t="str">
        <f>T("간신이 나라를 살림 14화")</f>
        <v>간신이 나라를 살림 14화</v>
      </c>
      <c r="D4642" t="str">
        <f>T("14")</f>
        <v>14</v>
      </c>
      <c r="E4642" t="str">
        <f t="shared" si="618"/>
        <v>루이세</v>
      </c>
      <c r="H4642" t="str">
        <f t="shared" si="622"/>
        <v>스토리위즈</v>
      </c>
      <c r="I4642" t="str">
        <f t="shared" si="619"/>
        <v>간신이 나라를 살림</v>
      </c>
      <c r="J4642">
        <v>0</v>
      </c>
      <c r="K4642">
        <v>0</v>
      </c>
      <c r="L4642">
        <v>0</v>
      </c>
      <c r="M4642">
        <v>272</v>
      </c>
      <c r="N4642">
        <v>0</v>
      </c>
      <c r="O4642">
        <v>0</v>
      </c>
      <c r="P4642">
        <v>79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18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351</v>
      </c>
      <c r="AI4642">
        <v>0</v>
      </c>
      <c r="AJ4642">
        <v>19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T4642" t="str">
        <f t="shared" si="620"/>
        <v>9791159284663</v>
      </c>
      <c r="AV4642" t="str">
        <f t="shared" si="621"/>
        <v>판타지 웹소설 &gt; 퓨전 판타지</v>
      </c>
    </row>
    <row r="4643" spans="1:48" x14ac:dyDescent="0.4">
      <c r="A4643">
        <v>2313007845</v>
      </c>
      <c r="B4643">
        <v>2313007859</v>
      </c>
      <c r="C4643" t="str">
        <f>T("간신이 나라를 살림 15화")</f>
        <v>간신이 나라를 살림 15화</v>
      </c>
      <c r="D4643" t="str">
        <f>T("15")</f>
        <v>15</v>
      </c>
      <c r="E4643" t="str">
        <f t="shared" si="618"/>
        <v>루이세</v>
      </c>
      <c r="H4643" t="str">
        <f t="shared" si="622"/>
        <v>스토리위즈</v>
      </c>
      <c r="I4643" t="str">
        <f t="shared" si="619"/>
        <v>간신이 나라를 살림</v>
      </c>
      <c r="J4643">
        <v>0</v>
      </c>
      <c r="K4643">
        <v>0</v>
      </c>
      <c r="L4643">
        <v>0</v>
      </c>
      <c r="M4643">
        <v>273</v>
      </c>
      <c r="N4643">
        <v>0</v>
      </c>
      <c r="O4643">
        <v>0</v>
      </c>
      <c r="P4643">
        <v>79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18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352</v>
      </c>
      <c r="AI4643">
        <v>0</v>
      </c>
      <c r="AJ4643">
        <v>19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T4643" t="str">
        <f t="shared" si="620"/>
        <v>9791159284663</v>
      </c>
      <c r="AV4643" t="str">
        <f t="shared" si="621"/>
        <v>판타지 웹소설 &gt; 퓨전 판타지</v>
      </c>
    </row>
    <row r="4644" spans="1:48" x14ac:dyDescent="0.4">
      <c r="A4644">
        <v>2313007845</v>
      </c>
      <c r="B4644">
        <v>2313007860</v>
      </c>
      <c r="C4644" t="str">
        <f>T("간신이 나라를 살림 16화")</f>
        <v>간신이 나라를 살림 16화</v>
      </c>
      <c r="D4644" t="str">
        <f>T("16")</f>
        <v>16</v>
      </c>
      <c r="E4644" t="str">
        <f t="shared" si="618"/>
        <v>루이세</v>
      </c>
      <c r="H4644" t="str">
        <f t="shared" si="622"/>
        <v>스토리위즈</v>
      </c>
      <c r="I4644" t="str">
        <f t="shared" si="619"/>
        <v>간신이 나라를 살림</v>
      </c>
      <c r="J4644">
        <v>0</v>
      </c>
      <c r="K4644">
        <v>0</v>
      </c>
      <c r="L4644">
        <v>0</v>
      </c>
      <c r="M4644">
        <v>271</v>
      </c>
      <c r="N4644">
        <v>0</v>
      </c>
      <c r="O4644">
        <v>0</v>
      </c>
      <c r="P4644">
        <v>79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18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350</v>
      </c>
      <c r="AI4644">
        <v>0</v>
      </c>
      <c r="AJ4644">
        <v>19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T4644" t="str">
        <f t="shared" si="620"/>
        <v>9791159284663</v>
      </c>
      <c r="AV4644" t="str">
        <f t="shared" si="621"/>
        <v>판타지 웹소설 &gt; 퓨전 판타지</v>
      </c>
    </row>
    <row r="4645" spans="1:48" x14ac:dyDescent="0.4">
      <c r="A4645">
        <v>2313007845</v>
      </c>
      <c r="B4645">
        <v>2313007861</v>
      </c>
      <c r="C4645" t="str">
        <f>T("간신이 나라를 살림 17화")</f>
        <v>간신이 나라를 살림 17화</v>
      </c>
      <c r="D4645" t="str">
        <f>T("17")</f>
        <v>17</v>
      </c>
      <c r="E4645" t="str">
        <f t="shared" si="618"/>
        <v>루이세</v>
      </c>
      <c r="H4645" t="str">
        <f t="shared" si="622"/>
        <v>스토리위즈</v>
      </c>
      <c r="I4645" t="str">
        <f t="shared" si="619"/>
        <v>간신이 나라를 살림</v>
      </c>
      <c r="J4645">
        <v>0</v>
      </c>
      <c r="K4645">
        <v>0</v>
      </c>
      <c r="L4645">
        <v>0</v>
      </c>
      <c r="M4645">
        <v>272</v>
      </c>
      <c r="N4645">
        <v>0</v>
      </c>
      <c r="O4645">
        <v>0</v>
      </c>
      <c r="P4645">
        <v>78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18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350</v>
      </c>
      <c r="AI4645">
        <v>0</v>
      </c>
      <c r="AJ4645">
        <v>19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T4645" t="str">
        <f t="shared" si="620"/>
        <v>9791159284663</v>
      </c>
      <c r="AV4645" t="str">
        <f t="shared" si="621"/>
        <v>판타지 웹소설 &gt; 퓨전 판타지</v>
      </c>
    </row>
    <row r="4646" spans="1:48" x14ac:dyDescent="0.4">
      <c r="A4646">
        <v>2313007845</v>
      </c>
      <c r="B4646">
        <v>2313007862</v>
      </c>
      <c r="C4646" t="str">
        <f>T("간신이 나라를 살림 18화")</f>
        <v>간신이 나라를 살림 18화</v>
      </c>
      <c r="D4646" t="str">
        <f>T("18")</f>
        <v>18</v>
      </c>
      <c r="E4646" t="str">
        <f t="shared" si="618"/>
        <v>루이세</v>
      </c>
      <c r="H4646" t="str">
        <f t="shared" si="622"/>
        <v>스토리위즈</v>
      </c>
      <c r="I4646" t="str">
        <f t="shared" si="619"/>
        <v>간신이 나라를 살림</v>
      </c>
      <c r="J4646">
        <v>0</v>
      </c>
      <c r="K4646">
        <v>0</v>
      </c>
      <c r="L4646">
        <v>0</v>
      </c>
      <c r="M4646">
        <v>271</v>
      </c>
      <c r="N4646">
        <v>0</v>
      </c>
      <c r="O4646">
        <v>0</v>
      </c>
      <c r="P4646">
        <v>78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18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349</v>
      </c>
      <c r="AI4646">
        <v>0</v>
      </c>
      <c r="AJ4646">
        <v>19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T4646" t="str">
        <f t="shared" si="620"/>
        <v>9791159284663</v>
      </c>
      <c r="AV4646" t="str">
        <f t="shared" si="621"/>
        <v>판타지 웹소설 &gt; 퓨전 판타지</v>
      </c>
    </row>
    <row r="4647" spans="1:48" x14ac:dyDescent="0.4">
      <c r="A4647">
        <v>2313007845</v>
      </c>
      <c r="B4647">
        <v>2313007863</v>
      </c>
      <c r="C4647" t="str">
        <f>T("간신이 나라를 살림 19화")</f>
        <v>간신이 나라를 살림 19화</v>
      </c>
      <c r="D4647" t="str">
        <f>T("19")</f>
        <v>19</v>
      </c>
      <c r="E4647" t="str">
        <f t="shared" si="618"/>
        <v>루이세</v>
      </c>
      <c r="H4647" t="str">
        <f t="shared" si="622"/>
        <v>스토리위즈</v>
      </c>
      <c r="I4647" t="str">
        <f t="shared" si="619"/>
        <v>간신이 나라를 살림</v>
      </c>
      <c r="J4647">
        <v>0</v>
      </c>
      <c r="K4647">
        <v>0</v>
      </c>
      <c r="L4647">
        <v>0</v>
      </c>
      <c r="M4647">
        <v>271</v>
      </c>
      <c r="N4647">
        <v>0</v>
      </c>
      <c r="O4647">
        <v>0</v>
      </c>
      <c r="P4647">
        <v>78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18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349</v>
      </c>
      <c r="AI4647">
        <v>0</v>
      </c>
      <c r="AJ4647">
        <v>19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T4647" t="str">
        <f t="shared" si="620"/>
        <v>9791159284663</v>
      </c>
      <c r="AV4647" t="str">
        <f t="shared" si="621"/>
        <v>판타지 웹소설 &gt; 퓨전 판타지</v>
      </c>
    </row>
    <row r="4648" spans="1:48" x14ac:dyDescent="0.4">
      <c r="A4648">
        <v>2313007845</v>
      </c>
      <c r="B4648">
        <v>2313007864</v>
      </c>
      <c r="C4648" t="str">
        <f>T("간신이 나라를 살림 20화")</f>
        <v>간신이 나라를 살림 20화</v>
      </c>
      <c r="D4648" t="str">
        <f>T("20")</f>
        <v>20</v>
      </c>
      <c r="E4648" t="str">
        <f t="shared" si="618"/>
        <v>루이세</v>
      </c>
      <c r="H4648" t="str">
        <f t="shared" si="622"/>
        <v>스토리위즈</v>
      </c>
      <c r="I4648" t="str">
        <f t="shared" si="619"/>
        <v>간신이 나라를 살림</v>
      </c>
      <c r="J4648">
        <v>0</v>
      </c>
      <c r="K4648">
        <v>0</v>
      </c>
      <c r="L4648">
        <v>0</v>
      </c>
      <c r="M4648">
        <v>272</v>
      </c>
      <c r="N4648">
        <v>0</v>
      </c>
      <c r="O4648">
        <v>0</v>
      </c>
      <c r="P4648">
        <v>79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18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351</v>
      </c>
      <c r="AI4648">
        <v>0</v>
      </c>
      <c r="AJ4648">
        <v>19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T4648" t="str">
        <f t="shared" si="620"/>
        <v>9791159284663</v>
      </c>
      <c r="AV4648" t="str">
        <f t="shared" si="621"/>
        <v>판타지 웹소설 &gt; 퓨전 판타지</v>
      </c>
    </row>
    <row r="4649" spans="1:48" x14ac:dyDescent="0.4">
      <c r="A4649">
        <v>2313007845</v>
      </c>
      <c r="B4649">
        <v>2313007865</v>
      </c>
      <c r="C4649" t="str">
        <f>T("간신이 나라를 살림 21화")</f>
        <v>간신이 나라를 살림 21화</v>
      </c>
      <c r="D4649" t="str">
        <f>T("21")</f>
        <v>21</v>
      </c>
      <c r="E4649" t="str">
        <f t="shared" si="618"/>
        <v>루이세</v>
      </c>
      <c r="H4649" t="str">
        <f t="shared" si="622"/>
        <v>스토리위즈</v>
      </c>
      <c r="I4649" t="str">
        <f t="shared" si="619"/>
        <v>간신이 나라를 살림</v>
      </c>
      <c r="J4649">
        <v>0</v>
      </c>
      <c r="K4649">
        <v>0</v>
      </c>
      <c r="L4649">
        <v>0</v>
      </c>
      <c r="M4649">
        <v>251</v>
      </c>
      <c r="N4649">
        <v>0</v>
      </c>
      <c r="O4649">
        <v>0</v>
      </c>
      <c r="P4649">
        <v>76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18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327</v>
      </c>
      <c r="AI4649">
        <v>0</v>
      </c>
      <c r="AJ4649">
        <v>19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T4649" t="str">
        <f t="shared" si="620"/>
        <v>9791159284663</v>
      </c>
      <c r="AV4649" t="str">
        <f t="shared" si="621"/>
        <v>판타지 웹소설 &gt; 퓨전 판타지</v>
      </c>
    </row>
    <row r="4650" spans="1:48" x14ac:dyDescent="0.4">
      <c r="A4650">
        <v>2313007845</v>
      </c>
      <c r="B4650">
        <v>2313007866</v>
      </c>
      <c r="C4650" t="str">
        <f>T("간신이 나라를 살림 22화")</f>
        <v>간신이 나라를 살림 22화</v>
      </c>
      <c r="D4650" t="str">
        <f>T("22")</f>
        <v>22</v>
      </c>
      <c r="E4650" t="str">
        <f t="shared" si="618"/>
        <v>루이세</v>
      </c>
      <c r="H4650" t="str">
        <f t="shared" si="622"/>
        <v>스토리위즈</v>
      </c>
      <c r="I4650" t="str">
        <f t="shared" si="619"/>
        <v>간신이 나라를 살림</v>
      </c>
      <c r="J4650">
        <v>0</v>
      </c>
      <c r="K4650">
        <v>0</v>
      </c>
      <c r="L4650">
        <v>0</v>
      </c>
      <c r="M4650">
        <v>245</v>
      </c>
      <c r="N4650">
        <v>0</v>
      </c>
      <c r="O4650">
        <v>0</v>
      </c>
      <c r="P4650">
        <v>77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18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322</v>
      </c>
      <c r="AI4650">
        <v>0</v>
      </c>
      <c r="AJ4650">
        <v>19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T4650" t="str">
        <f t="shared" si="620"/>
        <v>9791159284663</v>
      </c>
      <c r="AV4650" t="str">
        <f t="shared" si="621"/>
        <v>판타지 웹소설 &gt; 퓨전 판타지</v>
      </c>
    </row>
    <row r="4651" spans="1:48" x14ac:dyDescent="0.4">
      <c r="A4651">
        <v>2313007845</v>
      </c>
      <c r="B4651">
        <v>2313007867</v>
      </c>
      <c r="C4651" t="str">
        <f>T("간신이 나라를 살림 23화")</f>
        <v>간신이 나라를 살림 23화</v>
      </c>
      <c r="D4651" t="str">
        <f>T("23")</f>
        <v>23</v>
      </c>
      <c r="E4651" t="str">
        <f t="shared" si="618"/>
        <v>루이세</v>
      </c>
      <c r="H4651" t="str">
        <f t="shared" si="622"/>
        <v>스토리위즈</v>
      </c>
      <c r="I4651" t="str">
        <f t="shared" si="619"/>
        <v>간신이 나라를 살림</v>
      </c>
      <c r="J4651">
        <v>0</v>
      </c>
      <c r="K4651">
        <v>0</v>
      </c>
      <c r="L4651">
        <v>0</v>
      </c>
      <c r="M4651">
        <v>245</v>
      </c>
      <c r="N4651">
        <v>0</v>
      </c>
      <c r="O4651">
        <v>0</v>
      </c>
      <c r="P4651">
        <v>77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18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322</v>
      </c>
      <c r="AI4651">
        <v>0</v>
      </c>
      <c r="AJ4651">
        <v>19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T4651" t="str">
        <f t="shared" si="620"/>
        <v>9791159284663</v>
      </c>
      <c r="AV4651" t="str">
        <f t="shared" si="621"/>
        <v>판타지 웹소설 &gt; 퓨전 판타지</v>
      </c>
    </row>
    <row r="4652" spans="1:48" x14ac:dyDescent="0.4">
      <c r="A4652">
        <v>2313007845</v>
      </c>
      <c r="B4652">
        <v>2313007868</v>
      </c>
      <c r="C4652" t="str">
        <f>T("간신이 나라를 살림 24화")</f>
        <v>간신이 나라를 살림 24화</v>
      </c>
      <c r="D4652" t="str">
        <f>T("24")</f>
        <v>24</v>
      </c>
      <c r="E4652" t="str">
        <f t="shared" si="618"/>
        <v>루이세</v>
      </c>
      <c r="H4652" t="str">
        <f t="shared" si="622"/>
        <v>스토리위즈</v>
      </c>
      <c r="I4652" t="str">
        <f t="shared" si="619"/>
        <v>간신이 나라를 살림</v>
      </c>
      <c r="J4652">
        <v>0</v>
      </c>
      <c r="K4652">
        <v>0</v>
      </c>
      <c r="L4652">
        <v>0</v>
      </c>
      <c r="M4652">
        <v>243</v>
      </c>
      <c r="N4652">
        <v>0</v>
      </c>
      <c r="O4652">
        <v>0</v>
      </c>
      <c r="P4652">
        <v>77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18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320</v>
      </c>
      <c r="AI4652">
        <v>0</v>
      </c>
      <c r="AJ4652">
        <v>19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T4652" t="str">
        <f t="shared" si="620"/>
        <v>9791159284663</v>
      </c>
      <c r="AV4652" t="str">
        <f t="shared" si="621"/>
        <v>판타지 웹소설 &gt; 퓨전 판타지</v>
      </c>
    </row>
    <row r="4653" spans="1:48" x14ac:dyDescent="0.4">
      <c r="A4653">
        <v>2313007845</v>
      </c>
      <c r="B4653">
        <v>2313007869</v>
      </c>
      <c r="C4653" t="str">
        <f>T("간신이 나라를 살림 25화")</f>
        <v>간신이 나라를 살림 25화</v>
      </c>
      <c r="D4653" t="str">
        <f>T("25")</f>
        <v>25</v>
      </c>
      <c r="E4653" t="str">
        <f t="shared" si="618"/>
        <v>루이세</v>
      </c>
      <c r="H4653" t="str">
        <f t="shared" si="622"/>
        <v>스토리위즈</v>
      </c>
      <c r="I4653" t="str">
        <f t="shared" si="619"/>
        <v>간신이 나라를 살림</v>
      </c>
      <c r="J4653">
        <v>0</v>
      </c>
      <c r="K4653">
        <v>0</v>
      </c>
      <c r="L4653">
        <v>0</v>
      </c>
      <c r="M4653">
        <v>422</v>
      </c>
      <c r="N4653">
        <v>0</v>
      </c>
      <c r="O4653">
        <v>0</v>
      </c>
      <c r="P4653">
        <v>78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18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500</v>
      </c>
      <c r="AI4653">
        <v>0</v>
      </c>
      <c r="AJ4653">
        <v>19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T4653" t="str">
        <f t="shared" si="620"/>
        <v>9791159284663</v>
      </c>
      <c r="AV4653" t="str">
        <f t="shared" si="621"/>
        <v>판타지 웹소설 &gt; 퓨전 판타지</v>
      </c>
    </row>
    <row r="4654" spans="1:48" x14ac:dyDescent="0.4">
      <c r="A4654">
        <v>2313008150</v>
      </c>
      <c r="B4654">
        <v>2313008150</v>
      </c>
      <c r="C4654" t="str">
        <f>T("기사가문 망나니는 10클래스 1화")</f>
        <v>기사가문 망나니는 10클래스 1화</v>
      </c>
      <c r="D4654" t="str">
        <f>T("1")</f>
        <v>1</v>
      </c>
      <c r="E4654" t="str">
        <f t="shared" ref="E4654:E4678" si="623">T("예로나")</f>
        <v>예로나</v>
      </c>
      <c r="H4654" t="str">
        <f t="shared" si="622"/>
        <v>스토리위즈</v>
      </c>
      <c r="I4654" t="str">
        <f t="shared" ref="I4654:I4678" si="624">T("기사가문 망나니는 10클래스")</f>
        <v>기사가문 망나니는 10클래스</v>
      </c>
      <c r="J4654">
        <v>0</v>
      </c>
      <c r="K4654">
        <v>0</v>
      </c>
      <c r="L4654">
        <v>0</v>
      </c>
      <c r="M4654">
        <v>9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9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T4654" t="str">
        <f t="shared" ref="AT4654:AT4678" si="625">T("9791165310370")</f>
        <v>9791165310370</v>
      </c>
      <c r="AV4654" t="str">
        <f t="shared" si="621"/>
        <v>판타지 웹소설 &gt; 퓨전 판타지</v>
      </c>
    </row>
    <row r="4655" spans="1:48" x14ac:dyDescent="0.4">
      <c r="A4655">
        <v>2313008150</v>
      </c>
      <c r="B4655">
        <v>2313008151</v>
      </c>
      <c r="C4655" t="str">
        <f>T("기사가문 망나니는 10클래스 2화")</f>
        <v>기사가문 망나니는 10클래스 2화</v>
      </c>
      <c r="D4655" t="str">
        <f>T("2")</f>
        <v>2</v>
      </c>
      <c r="E4655" t="str">
        <f t="shared" si="623"/>
        <v>예로나</v>
      </c>
      <c r="H4655" t="str">
        <f t="shared" si="622"/>
        <v>스토리위즈</v>
      </c>
      <c r="I4655" t="str">
        <f t="shared" si="624"/>
        <v>기사가문 망나니는 10클래스</v>
      </c>
      <c r="J4655">
        <v>0</v>
      </c>
      <c r="K4655">
        <v>0</v>
      </c>
      <c r="L4655">
        <v>0</v>
      </c>
      <c r="M4655">
        <v>8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8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T4655" t="str">
        <f t="shared" si="625"/>
        <v>9791165310370</v>
      </c>
      <c r="AV4655" t="str">
        <f t="shared" si="621"/>
        <v>판타지 웹소설 &gt; 퓨전 판타지</v>
      </c>
    </row>
    <row r="4656" spans="1:48" x14ac:dyDescent="0.4">
      <c r="A4656">
        <v>2313008150</v>
      </c>
      <c r="B4656">
        <v>2313008152</v>
      </c>
      <c r="C4656" t="str">
        <f>T("기사가문 망나니는 10클래스 3화")</f>
        <v>기사가문 망나니는 10클래스 3화</v>
      </c>
      <c r="D4656" t="str">
        <f>T("3")</f>
        <v>3</v>
      </c>
      <c r="E4656" t="str">
        <f t="shared" si="623"/>
        <v>예로나</v>
      </c>
      <c r="H4656" t="str">
        <f t="shared" si="622"/>
        <v>스토리위즈</v>
      </c>
      <c r="I4656" t="str">
        <f t="shared" si="624"/>
        <v>기사가문 망나니는 10클래스</v>
      </c>
      <c r="J4656">
        <v>0</v>
      </c>
      <c r="K4656">
        <v>0</v>
      </c>
      <c r="L4656">
        <v>0</v>
      </c>
      <c r="M4656">
        <v>6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6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T4656" t="str">
        <f t="shared" si="625"/>
        <v>9791165310370</v>
      </c>
      <c r="AV4656" t="str">
        <f t="shared" si="621"/>
        <v>판타지 웹소설 &gt; 퓨전 판타지</v>
      </c>
    </row>
    <row r="4657" spans="1:48" x14ac:dyDescent="0.4">
      <c r="A4657">
        <v>2313008150</v>
      </c>
      <c r="B4657">
        <v>2313008153</v>
      </c>
      <c r="C4657" t="str">
        <f>T("기사가문 망나니는 10클래스 4화")</f>
        <v>기사가문 망나니는 10클래스 4화</v>
      </c>
      <c r="D4657" t="str">
        <f>T("4")</f>
        <v>4</v>
      </c>
      <c r="E4657" t="str">
        <f t="shared" si="623"/>
        <v>예로나</v>
      </c>
      <c r="H4657" t="str">
        <f t="shared" si="622"/>
        <v>스토리위즈</v>
      </c>
      <c r="I4657" t="str">
        <f t="shared" si="624"/>
        <v>기사가문 망나니는 10클래스</v>
      </c>
      <c r="J4657">
        <v>0</v>
      </c>
      <c r="K4657">
        <v>0</v>
      </c>
      <c r="L4657">
        <v>0</v>
      </c>
      <c r="M4657">
        <v>6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6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T4657" t="str">
        <f t="shared" si="625"/>
        <v>9791165310370</v>
      </c>
      <c r="AV4657" t="str">
        <f t="shared" si="621"/>
        <v>판타지 웹소설 &gt; 퓨전 판타지</v>
      </c>
    </row>
    <row r="4658" spans="1:48" x14ac:dyDescent="0.4">
      <c r="A4658">
        <v>2313008150</v>
      </c>
      <c r="B4658">
        <v>2313008154</v>
      </c>
      <c r="C4658" t="str">
        <f>T("기사가문 망나니는 10클래스 5화")</f>
        <v>기사가문 망나니는 10클래스 5화</v>
      </c>
      <c r="D4658" t="str">
        <f>T("5")</f>
        <v>5</v>
      </c>
      <c r="E4658" t="str">
        <f t="shared" si="623"/>
        <v>예로나</v>
      </c>
      <c r="H4658" t="str">
        <f t="shared" si="622"/>
        <v>스토리위즈</v>
      </c>
      <c r="I4658" t="str">
        <f t="shared" si="624"/>
        <v>기사가문 망나니는 10클래스</v>
      </c>
      <c r="J4658">
        <v>0</v>
      </c>
      <c r="K4658">
        <v>0</v>
      </c>
      <c r="L4658">
        <v>0</v>
      </c>
      <c r="M4658">
        <v>6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6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T4658" t="str">
        <f t="shared" si="625"/>
        <v>9791165310370</v>
      </c>
      <c r="AV4658" t="str">
        <f t="shared" si="621"/>
        <v>판타지 웹소설 &gt; 퓨전 판타지</v>
      </c>
    </row>
    <row r="4659" spans="1:48" x14ac:dyDescent="0.4">
      <c r="A4659">
        <v>2313008150</v>
      </c>
      <c r="B4659">
        <v>2313008155</v>
      </c>
      <c r="C4659" t="str">
        <f>T("기사가문 망나니는 10클래스 6화")</f>
        <v>기사가문 망나니는 10클래스 6화</v>
      </c>
      <c r="D4659" t="str">
        <f>T("6")</f>
        <v>6</v>
      </c>
      <c r="E4659" t="str">
        <f t="shared" si="623"/>
        <v>예로나</v>
      </c>
      <c r="H4659" t="str">
        <f t="shared" si="622"/>
        <v>스토리위즈</v>
      </c>
      <c r="I4659" t="str">
        <f t="shared" si="624"/>
        <v>기사가문 망나니는 10클래스</v>
      </c>
      <c r="J4659">
        <v>0</v>
      </c>
      <c r="K4659">
        <v>0</v>
      </c>
      <c r="L4659">
        <v>0</v>
      </c>
      <c r="M4659">
        <v>7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7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T4659" t="str">
        <f t="shared" si="625"/>
        <v>9791165310370</v>
      </c>
      <c r="AV4659" t="str">
        <f t="shared" si="621"/>
        <v>판타지 웹소설 &gt; 퓨전 판타지</v>
      </c>
    </row>
    <row r="4660" spans="1:48" x14ac:dyDescent="0.4">
      <c r="A4660">
        <v>2313008150</v>
      </c>
      <c r="B4660">
        <v>2313008156</v>
      </c>
      <c r="C4660" t="str">
        <f>T("기사가문 망나니는 10클래스 7화")</f>
        <v>기사가문 망나니는 10클래스 7화</v>
      </c>
      <c r="D4660" t="str">
        <f>T("7")</f>
        <v>7</v>
      </c>
      <c r="E4660" t="str">
        <f t="shared" si="623"/>
        <v>예로나</v>
      </c>
      <c r="H4660" t="str">
        <f t="shared" si="622"/>
        <v>스토리위즈</v>
      </c>
      <c r="I4660" t="str">
        <f t="shared" si="624"/>
        <v>기사가문 망나니는 10클래스</v>
      </c>
      <c r="J4660">
        <v>0</v>
      </c>
      <c r="K4660">
        <v>0</v>
      </c>
      <c r="L4660">
        <v>0</v>
      </c>
      <c r="M4660">
        <v>6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6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T4660" t="str">
        <f t="shared" si="625"/>
        <v>9791165310370</v>
      </c>
      <c r="AV4660" t="str">
        <f t="shared" si="621"/>
        <v>판타지 웹소설 &gt; 퓨전 판타지</v>
      </c>
    </row>
    <row r="4661" spans="1:48" x14ac:dyDescent="0.4">
      <c r="A4661">
        <v>2313008150</v>
      </c>
      <c r="B4661">
        <v>2313008157</v>
      </c>
      <c r="C4661" t="str">
        <f>T("기사가문 망나니는 10클래스 8화")</f>
        <v>기사가문 망나니는 10클래스 8화</v>
      </c>
      <c r="D4661" t="str">
        <f>T("8")</f>
        <v>8</v>
      </c>
      <c r="E4661" t="str">
        <f t="shared" si="623"/>
        <v>예로나</v>
      </c>
      <c r="H4661" t="str">
        <f t="shared" si="622"/>
        <v>스토리위즈</v>
      </c>
      <c r="I4661" t="str">
        <f t="shared" si="624"/>
        <v>기사가문 망나니는 10클래스</v>
      </c>
      <c r="J4661">
        <v>0</v>
      </c>
      <c r="K4661">
        <v>0</v>
      </c>
      <c r="L4661">
        <v>0</v>
      </c>
      <c r="M4661">
        <v>6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6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T4661" t="str">
        <f t="shared" si="625"/>
        <v>9791165310370</v>
      </c>
      <c r="AV4661" t="str">
        <f t="shared" si="621"/>
        <v>판타지 웹소설 &gt; 퓨전 판타지</v>
      </c>
    </row>
    <row r="4662" spans="1:48" x14ac:dyDescent="0.4">
      <c r="A4662">
        <v>2313008150</v>
      </c>
      <c r="B4662">
        <v>2313008158</v>
      </c>
      <c r="C4662" t="str">
        <f>T("기사가문 망나니는 10클래스 9화")</f>
        <v>기사가문 망나니는 10클래스 9화</v>
      </c>
      <c r="D4662" t="str">
        <f>T("9")</f>
        <v>9</v>
      </c>
      <c r="E4662" t="str">
        <f t="shared" si="623"/>
        <v>예로나</v>
      </c>
      <c r="H4662" t="str">
        <f t="shared" si="622"/>
        <v>스토리위즈</v>
      </c>
      <c r="I4662" t="str">
        <f t="shared" si="624"/>
        <v>기사가문 망나니는 10클래스</v>
      </c>
      <c r="J4662">
        <v>0</v>
      </c>
      <c r="K4662">
        <v>0</v>
      </c>
      <c r="L4662">
        <v>0</v>
      </c>
      <c r="M4662">
        <v>5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5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T4662" t="str">
        <f t="shared" si="625"/>
        <v>9791165310370</v>
      </c>
      <c r="AV4662" t="str">
        <f t="shared" si="621"/>
        <v>판타지 웹소설 &gt; 퓨전 판타지</v>
      </c>
    </row>
    <row r="4663" spans="1:48" x14ac:dyDescent="0.4">
      <c r="A4663">
        <v>2313008150</v>
      </c>
      <c r="B4663">
        <v>2313008159</v>
      </c>
      <c r="C4663" t="str">
        <f>T("기사가문 망나니는 10클래스 10화")</f>
        <v>기사가문 망나니는 10클래스 10화</v>
      </c>
      <c r="D4663" t="str">
        <f>T("10")</f>
        <v>10</v>
      </c>
      <c r="E4663" t="str">
        <f t="shared" si="623"/>
        <v>예로나</v>
      </c>
      <c r="H4663" t="str">
        <f t="shared" si="622"/>
        <v>스토리위즈</v>
      </c>
      <c r="I4663" t="str">
        <f t="shared" si="624"/>
        <v>기사가문 망나니는 10클래스</v>
      </c>
      <c r="J4663">
        <v>0</v>
      </c>
      <c r="K4663">
        <v>0</v>
      </c>
      <c r="L4663">
        <v>0</v>
      </c>
      <c r="M4663">
        <v>5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5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T4663" t="str">
        <f t="shared" si="625"/>
        <v>9791165310370</v>
      </c>
      <c r="AV4663" t="str">
        <f t="shared" si="621"/>
        <v>판타지 웹소설 &gt; 퓨전 판타지</v>
      </c>
    </row>
    <row r="4664" spans="1:48" x14ac:dyDescent="0.4">
      <c r="A4664">
        <v>2313008150</v>
      </c>
      <c r="B4664">
        <v>2313008160</v>
      </c>
      <c r="C4664" t="str">
        <f>T("기사가문 망나니는 10클래스 11화")</f>
        <v>기사가문 망나니는 10클래스 11화</v>
      </c>
      <c r="D4664" t="str">
        <f>T("11")</f>
        <v>11</v>
      </c>
      <c r="E4664" t="str">
        <f t="shared" si="623"/>
        <v>예로나</v>
      </c>
      <c r="H4664" t="str">
        <f t="shared" si="622"/>
        <v>스토리위즈</v>
      </c>
      <c r="I4664" t="str">
        <f t="shared" si="624"/>
        <v>기사가문 망나니는 10클래스</v>
      </c>
      <c r="J4664">
        <v>0</v>
      </c>
      <c r="K4664">
        <v>0</v>
      </c>
      <c r="L4664">
        <v>0</v>
      </c>
      <c r="M4664">
        <v>5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5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T4664" t="str">
        <f t="shared" si="625"/>
        <v>9791165310370</v>
      </c>
      <c r="AV4664" t="str">
        <f t="shared" si="621"/>
        <v>판타지 웹소설 &gt; 퓨전 판타지</v>
      </c>
    </row>
    <row r="4665" spans="1:48" x14ac:dyDescent="0.4">
      <c r="A4665">
        <v>2313008150</v>
      </c>
      <c r="B4665">
        <v>2313008161</v>
      </c>
      <c r="C4665" t="str">
        <f>T("기사가문 망나니는 10클래스 12화")</f>
        <v>기사가문 망나니는 10클래스 12화</v>
      </c>
      <c r="D4665" t="str">
        <f>T("12")</f>
        <v>12</v>
      </c>
      <c r="E4665" t="str">
        <f t="shared" si="623"/>
        <v>예로나</v>
      </c>
      <c r="H4665" t="str">
        <f t="shared" si="622"/>
        <v>스토리위즈</v>
      </c>
      <c r="I4665" t="str">
        <f t="shared" si="624"/>
        <v>기사가문 망나니는 10클래스</v>
      </c>
      <c r="J4665">
        <v>0</v>
      </c>
      <c r="K4665">
        <v>0</v>
      </c>
      <c r="L4665">
        <v>0</v>
      </c>
      <c r="M4665">
        <v>5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5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T4665" t="str">
        <f t="shared" si="625"/>
        <v>9791165310370</v>
      </c>
      <c r="AV4665" t="str">
        <f t="shared" si="621"/>
        <v>판타지 웹소설 &gt; 퓨전 판타지</v>
      </c>
    </row>
    <row r="4666" spans="1:48" x14ac:dyDescent="0.4">
      <c r="A4666">
        <v>2313008150</v>
      </c>
      <c r="B4666">
        <v>2313008162</v>
      </c>
      <c r="C4666" t="str">
        <f>T("기사가문 망나니는 10클래스 13화")</f>
        <v>기사가문 망나니는 10클래스 13화</v>
      </c>
      <c r="D4666" t="str">
        <f>T("13")</f>
        <v>13</v>
      </c>
      <c r="E4666" t="str">
        <f t="shared" si="623"/>
        <v>예로나</v>
      </c>
      <c r="H4666" t="str">
        <f t="shared" si="622"/>
        <v>스토리위즈</v>
      </c>
      <c r="I4666" t="str">
        <f t="shared" si="624"/>
        <v>기사가문 망나니는 10클래스</v>
      </c>
      <c r="J4666">
        <v>0</v>
      </c>
      <c r="K4666">
        <v>0</v>
      </c>
      <c r="L4666">
        <v>0</v>
      </c>
      <c r="M4666">
        <v>6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6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T4666" t="str">
        <f t="shared" si="625"/>
        <v>9791165310370</v>
      </c>
      <c r="AV4666" t="str">
        <f t="shared" si="621"/>
        <v>판타지 웹소설 &gt; 퓨전 판타지</v>
      </c>
    </row>
    <row r="4667" spans="1:48" x14ac:dyDescent="0.4">
      <c r="A4667">
        <v>2313008150</v>
      </c>
      <c r="B4667">
        <v>2313008163</v>
      </c>
      <c r="C4667" t="str">
        <f>T("기사가문 망나니는 10클래스 14화")</f>
        <v>기사가문 망나니는 10클래스 14화</v>
      </c>
      <c r="D4667" t="str">
        <f>T("14")</f>
        <v>14</v>
      </c>
      <c r="E4667" t="str">
        <f t="shared" si="623"/>
        <v>예로나</v>
      </c>
      <c r="H4667" t="str">
        <f t="shared" si="622"/>
        <v>스토리위즈</v>
      </c>
      <c r="I4667" t="str">
        <f t="shared" si="624"/>
        <v>기사가문 망나니는 10클래스</v>
      </c>
      <c r="J4667">
        <v>0</v>
      </c>
      <c r="K4667">
        <v>0</v>
      </c>
      <c r="L4667">
        <v>0</v>
      </c>
      <c r="M4667">
        <v>5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5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T4667" t="str">
        <f t="shared" si="625"/>
        <v>9791165310370</v>
      </c>
      <c r="AV4667" t="str">
        <f t="shared" si="621"/>
        <v>판타지 웹소설 &gt; 퓨전 판타지</v>
      </c>
    </row>
    <row r="4668" spans="1:48" x14ac:dyDescent="0.4">
      <c r="A4668">
        <v>2313008150</v>
      </c>
      <c r="B4668">
        <v>2313008164</v>
      </c>
      <c r="C4668" t="str">
        <f>T("기사가문 망나니는 10클래스 15화")</f>
        <v>기사가문 망나니는 10클래스 15화</v>
      </c>
      <c r="D4668" t="str">
        <f>T("15")</f>
        <v>15</v>
      </c>
      <c r="E4668" t="str">
        <f t="shared" si="623"/>
        <v>예로나</v>
      </c>
      <c r="H4668" t="str">
        <f t="shared" si="622"/>
        <v>스토리위즈</v>
      </c>
      <c r="I4668" t="str">
        <f t="shared" si="624"/>
        <v>기사가문 망나니는 10클래스</v>
      </c>
      <c r="J4668">
        <v>0</v>
      </c>
      <c r="K4668">
        <v>0</v>
      </c>
      <c r="L4668">
        <v>0</v>
      </c>
      <c r="M4668">
        <v>5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5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T4668" t="str">
        <f t="shared" si="625"/>
        <v>9791165310370</v>
      </c>
      <c r="AV4668" t="str">
        <f t="shared" si="621"/>
        <v>판타지 웹소설 &gt; 퓨전 판타지</v>
      </c>
    </row>
    <row r="4669" spans="1:48" x14ac:dyDescent="0.4">
      <c r="A4669">
        <v>2313008150</v>
      </c>
      <c r="B4669">
        <v>2313008165</v>
      </c>
      <c r="C4669" t="str">
        <f>T("기사가문 망나니는 10클래스 16화")</f>
        <v>기사가문 망나니는 10클래스 16화</v>
      </c>
      <c r="D4669" t="str">
        <f>T("16")</f>
        <v>16</v>
      </c>
      <c r="E4669" t="str">
        <f t="shared" si="623"/>
        <v>예로나</v>
      </c>
      <c r="H4669" t="str">
        <f t="shared" si="622"/>
        <v>스토리위즈</v>
      </c>
      <c r="I4669" t="str">
        <f t="shared" si="624"/>
        <v>기사가문 망나니는 10클래스</v>
      </c>
      <c r="J4669">
        <v>0</v>
      </c>
      <c r="K4669">
        <v>0</v>
      </c>
      <c r="L4669">
        <v>0</v>
      </c>
      <c r="M4669">
        <v>5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5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T4669" t="str">
        <f t="shared" si="625"/>
        <v>9791165310370</v>
      </c>
      <c r="AV4669" t="str">
        <f t="shared" si="621"/>
        <v>판타지 웹소설 &gt; 퓨전 판타지</v>
      </c>
    </row>
    <row r="4670" spans="1:48" x14ac:dyDescent="0.4">
      <c r="A4670">
        <v>2313008150</v>
      </c>
      <c r="B4670">
        <v>2313008166</v>
      </c>
      <c r="C4670" t="str">
        <f>T("기사가문 망나니는 10클래스 17화")</f>
        <v>기사가문 망나니는 10클래스 17화</v>
      </c>
      <c r="D4670" t="str">
        <f>T("17")</f>
        <v>17</v>
      </c>
      <c r="E4670" t="str">
        <f t="shared" si="623"/>
        <v>예로나</v>
      </c>
      <c r="H4670" t="str">
        <f t="shared" si="622"/>
        <v>스토리위즈</v>
      </c>
      <c r="I4670" t="str">
        <f t="shared" si="624"/>
        <v>기사가문 망나니는 10클래스</v>
      </c>
      <c r="J4670">
        <v>0</v>
      </c>
      <c r="K4670">
        <v>0</v>
      </c>
      <c r="L4670">
        <v>0</v>
      </c>
      <c r="M4670">
        <v>6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6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T4670" t="str">
        <f t="shared" si="625"/>
        <v>9791165310370</v>
      </c>
      <c r="AV4670" t="str">
        <f t="shared" si="621"/>
        <v>판타지 웹소설 &gt; 퓨전 판타지</v>
      </c>
    </row>
    <row r="4671" spans="1:48" x14ac:dyDescent="0.4">
      <c r="A4671">
        <v>2313008150</v>
      </c>
      <c r="B4671">
        <v>2313008167</v>
      </c>
      <c r="C4671" t="str">
        <f>T("기사가문 망나니는 10클래스 18화")</f>
        <v>기사가문 망나니는 10클래스 18화</v>
      </c>
      <c r="D4671" t="str">
        <f>T("18")</f>
        <v>18</v>
      </c>
      <c r="E4671" t="str">
        <f t="shared" si="623"/>
        <v>예로나</v>
      </c>
      <c r="H4671" t="str">
        <f t="shared" si="622"/>
        <v>스토리위즈</v>
      </c>
      <c r="I4671" t="str">
        <f t="shared" si="624"/>
        <v>기사가문 망나니는 10클래스</v>
      </c>
      <c r="J4671">
        <v>0</v>
      </c>
      <c r="K4671">
        <v>0</v>
      </c>
      <c r="L4671">
        <v>0</v>
      </c>
      <c r="M4671">
        <v>6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6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T4671" t="str">
        <f t="shared" si="625"/>
        <v>9791165310370</v>
      </c>
      <c r="AV4671" t="str">
        <f t="shared" si="621"/>
        <v>판타지 웹소설 &gt; 퓨전 판타지</v>
      </c>
    </row>
    <row r="4672" spans="1:48" x14ac:dyDescent="0.4">
      <c r="A4672">
        <v>2313008150</v>
      </c>
      <c r="B4672">
        <v>2313008168</v>
      </c>
      <c r="C4672" t="str">
        <f>T("기사가문 망나니는 10클래스 19화")</f>
        <v>기사가문 망나니는 10클래스 19화</v>
      </c>
      <c r="D4672" t="str">
        <f>T("19")</f>
        <v>19</v>
      </c>
      <c r="E4672" t="str">
        <f t="shared" si="623"/>
        <v>예로나</v>
      </c>
      <c r="H4672" t="str">
        <f t="shared" si="622"/>
        <v>스토리위즈</v>
      </c>
      <c r="I4672" t="str">
        <f t="shared" si="624"/>
        <v>기사가문 망나니는 10클래스</v>
      </c>
      <c r="J4672">
        <v>0</v>
      </c>
      <c r="K4672">
        <v>0</v>
      </c>
      <c r="L4672">
        <v>0</v>
      </c>
      <c r="M4672">
        <v>6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6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T4672" t="str">
        <f t="shared" si="625"/>
        <v>9791165310370</v>
      </c>
      <c r="AV4672" t="str">
        <f t="shared" si="621"/>
        <v>판타지 웹소설 &gt; 퓨전 판타지</v>
      </c>
    </row>
    <row r="4673" spans="1:48" x14ac:dyDescent="0.4">
      <c r="A4673">
        <v>2313008150</v>
      </c>
      <c r="B4673">
        <v>2313008169</v>
      </c>
      <c r="C4673" t="str">
        <f>T("기사가문 망나니는 10클래스 20화")</f>
        <v>기사가문 망나니는 10클래스 20화</v>
      </c>
      <c r="D4673" t="str">
        <f>T("20")</f>
        <v>20</v>
      </c>
      <c r="E4673" t="str">
        <f t="shared" si="623"/>
        <v>예로나</v>
      </c>
      <c r="H4673" t="str">
        <f t="shared" si="622"/>
        <v>스토리위즈</v>
      </c>
      <c r="I4673" t="str">
        <f t="shared" si="624"/>
        <v>기사가문 망나니는 10클래스</v>
      </c>
      <c r="J4673">
        <v>0</v>
      </c>
      <c r="K4673">
        <v>0</v>
      </c>
      <c r="L4673">
        <v>0</v>
      </c>
      <c r="M4673">
        <v>7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7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T4673" t="str">
        <f t="shared" si="625"/>
        <v>9791165310370</v>
      </c>
      <c r="AV4673" t="str">
        <f t="shared" si="621"/>
        <v>판타지 웹소설 &gt; 퓨전 판타지</v>
      </c>
    </row>
    <row r="4674" spans="1:48" x14ac:dyDescent="0.4">
      <c r="A4674">
        <v>2313008150</v>
      </c>
      <c r="B4674">
        <v>2313008170</v>
      </c>
      <c r="C4674" t="str">
        <f>T("기사가문 망나니는 10클래스 21화")</f>
        <v>기사가문 망나니는 10클래스 21화</v>
      </c>
      <c r="D4674" t="str">
        <f>T("21")</f>
        <v>21</v>
      </c>
      <c r="E4674" t="str">
        <f t="shared" si="623"/>
        <v>예로나</v>
      </c>
      <c r="H4674" t="str">
        <f t="shared" si="622"/>
        <v>스토리위즈</v>
      </c>
      <c r="I4674" t="str">
        <f t="shared" si="624"/>
        <v>기사가문 망나니는 10클래스</v>
      </c>
      <c r="J4674">
        <v>0</v>
      </c>
      <c r="K4674">
        <v>0</v>
      </c>
      <c r="L4674">
        <v>0</v>
      </c>
      <c r="M4674">
        <v>6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6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T4674" t="str">
        <f t="shared" si="625"/>
        <v>9791165310370</v>
      </c>
      <c r="AV4674" t="str">
        <f t="shared" si="621"/>
        <v>판타지 웹소설 &gt; 퓨전 판타지</v>
      </c>
    </row>
    <row r="4675" spans="1:48" x14ac:dyDescent="0.4">
      <c r="A4675">
        <v>2313008150</v>
      </c>
      <c r="B4675">
        <v>2313008171</v>
      </c>
      <c r="C4675" t="str">
        <f>T("기사가문 망나니는 10클래스 22화")</f>
        <v>기사가문 망나니는 10클래스 22화</v>
      </c>
      <c r="D4675" t="str">
        <f>T("22")</f>
        <v>22</v>
      </c>
      <c r="E4675" t="str">
        <f t="shared" si="623"/>
        <v>예로나</v>
      </c>
      <c r="H4675" t="str">
        <f t="shared" si="622"/>
        <v>스토리위즈</v>
      </c>
      <c r="I4675" t="str">
        <f t="shared" si="624"/>
        <v>기사가문 망나니는 10클래스</v>
      </c>
      <c r="J4675">
        <v>0</v>
      </c>
      <c r="K4675">
        <v>0</v>
      </c>
      <c r="L4675">
        <v>0</v>
      </c>
      <c r="M4675">
        <v>6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6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T4675" t="str">
        <f t="shared" si="625"/>
        <v>9791165310370</v>
      </c>
      <c r="AV4675" t="str">
        <f t="shared" si="621"/>
        <v>판타지 웹소설 &gt; 퓨전 판타지</v>
      </c>
    </row>
    <row r="4676" spans="1:48" x14ac:dyDescent="0.4">
      <c r="A4676">
        <v>2313008150</v>
      </c>
      <c r="B4676">
        <v>2313008172</v>
      </c>
      <c r="C4676" t="str">
        <f>T("기사가문 망나니는 10클래스 23화")</f>
        <v>기사가문 망나니는 10클래스 23화</v>
      </c>
      <c r="D4676" t="str">
        <f>T("23")</f>
        <v>23</v>
      </c>
      <c r="E4676" t="str">
        <f t="shared" si="623"/>
        <v>예로나</v>
      </c>
      <c r="H4676" t="str">
        <f t="shared" si="622"/>
        <v>스토리위즈</v>
      </c>
      <c r="I4676" t="str">
        <f t="shared" si="624"/>
        <v>기사가문 망나니는 10클래스</v>
      </c>
      <c r="J4676">
        <v>0</v>
      </c>
      <c r="K4676">
        <v>0</v>
      </c>
      <c r="L4676">
        <v>0</v>
      </c>
      <c r="M4676">
        <v>6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6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T4676" t="str">
        <f t="shared" si="625"/>
        <v>9791165310370</v>
      </c>
      <c r="AV4676" t="str">
        <f t="shared" si="621"/>
        <v>판타지 웹소설 &gt; 퓨전 판타지</v>
      </c>
    </row>
    <row r="4677" spans="1:48" x14ac:dyDescent="0.4">
      <c r="A4677">
        <v>2313008150</v>
      </c>
      <c r="B4677">
        <v>2313008173</v>
      </c>
      <c r="C4677" t="str">
        <f>T("기사가문 망나니는 10클래스 24화")</f>
        <v>기사가문 망나니는 10클래스 24화</v>
      </c>
      <c r="D4677" t="str">
        <f>T("24")</f>
        <v>24</v>
      </c>
      <c r="E4677" t="str">
        <f t="shared" si="623"/>
        <v>예로나</v>
      </c>
      <c r="H4677" t="str">
        <f t="shared" si="622"/>
        <v>스토리위즈</v>
      </c>
      <c r="I4677" t="str">
        <f t="shared" si="624"/>
        <v>기사가문 망나니는 10클래스</v>
      </c>
      <c r="J4677">
        <v>0</v>
      </c>
      <c r="K4677">
        <v>0</v>
      </c>
      <c r="L4677">
        <v>0</v>
      </c>
      <c r="M4677">
        <v>6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6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T4677" t="str">
        <f t="shared" si="625"/>
        <v>9791165310370</v>
      </c>
      <c r="AV4677" t="str">
        <f t="shared" si="621"/>
        <v>판타지 웹소설 &gt; 퓨전 판타지</v>
      </c>
    </row>
    <row r="4678" spans="1:48" x14ac:dyDescent="0.4">
      <c r="A4678">
        <v>2313008150</v>
      </c>
      <c r="B4678">
        <v>2313008174</v>
      </c>
      <c r="C4678" t="str">
        <f>T("기사가문 망나니는 10클래스 25화")</f>
        <v>기사가문 망나니는 10클래스 25화</v>
      </c>
      <c r="D4678" t="str">
        <f>T("25")</f>
        <v>25</v>
      </c>
      <c r="E4678" t="str">
        <f t="shared" si="623"/>
        <v>예로나</v>
      </c>
      <c r="H4678" t="str">
        <f t="shared" si="622"/>
        <v>스토리위즈</v>
      </c>
      <c r="I4678" t="str">
        <f t="shared" si="624"/>
        <v>기사가문 망나니는 10클래스</v>
      </c>
      <c r="J4678">
        <v>0</v>
      </c>
      <c r="K4678">
        <v>0</v>
      </c>
      <c r="L4678">
        <v>0</v>
      </c>
      <c r="M4678">
        <v>6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6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T4678" t="str">
        <f t="shared" si="625"/>
        <v>9791165310370</v>
      </c>
      <c r="AV4678" t="str">
        <f t="shared" si="621"/>
        <v>판타지 웹소설 &gt; 퓨전 판타지</v>
      </c>
    </row>
    <row r="4679" spans="1:48" x14ac:dyDescent="0.4">
      <c r="A4679">
        <v>2313008324</v>
      </c>
      <c r="B4679">
        <v>2313008324</v>
      </c>
      <c r="C4679" t="str">
        <f>T("[e북]간신이 나라를 살림 1권")</f>
        <v>[e북]간신이 나라를 살림 1권</v>
      </c>
      <c r="D4679" t="str">
        <f>T("1")</f>
        <v>1</v>
      </c>
      <c r="E4679" t="str">
        <f>T("루이세")</f>
        <v>루이세</v>
      </c>
      <c r="H4679" t="str">
        <f t="shared" si="622"/>
        <v>스토리위즈</v>
      </c>
      <c r="I4679" t="str">
        <f>T("[e북]간신이 나라를 살림")</f>
        <v>[e북]간신이 나라를 살림</v>
      </c>
      <c r="J4679">
        <v>0</v>
      </c>
      <c r="K4679">
        <v>0</v>
      </c>
      <c r="L4679">
        <v>0</v>
      </c>
      <c r="M4679">
        <v>133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83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</v>
      </c>
      <c r="AE4679">
        <v>0</v>
      </c>
      <c r="AF4679">
        <v>0</v>
      </c>
      <c r="AG4679">
        <v>0</v>
      </c>
      <c r="AH4679">
        <v>216</v>
      </c>
      <c r="AI4679">
        <v>0</v>
      </c>
      <c r="AJ4679">
        <v>2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T4679" t="str">
        <f>T("9791165310714")</f>
        <v>9791165310714</v>
      </c>
      <c r="AV4679" t="str">
        <f>T("판타지 e북 &gt; 퓨전 판타지")</f>
        <v>판타지 e북 &gt; 퓨전 판타지</v>
      </c>
    </row>
    <row r="4680" spans="1:48" x14ac:dyDescent="0.4">
      <c r="A4680">
        <v>2313008382</v>
      </c>
      <c r="B4680">
        <v>2313008382</v>
      </c>
      <c r="C4680" t="str">
        <f>T("[e북]베놈 마스터 1권")</f>
        <v>[e북]베놈 마스터 1권</v>
      </c>
      <c r="D4680" t="str">
        <f>T("1")</f>
        <v>1</v>
      </c>
      <c r="E4680" t="str">
        <f>T("시계태엽오란씨")</f>
        <v>시계태엽오란씨</v>
      </c>
      <c r="H4680" t="str">
        <f t="shared" si="622"/>
        <v>스토리위즈</v>
      </c>
      <c r="I4680" t="str">
        <f>T("[e북]베놈 마스터")</f>
        <v>[e북]베놈 마스터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R4680" t="str">
        <f t="shared" ref="AR4680:AR4687" si="626">T("0000000000000")</f>
        <v>0000000000000</v>
      </c>
      <c r="AT4680" t="str">
        <f>T("9791165310868")</f>
        <v>9791165310868</v>
      </c>
      <c r="AV4680" t="str">
        <f>T("판타지 e북 &gt; 게임 판타지")</f>
        <v>판타지 e북 &gt; 게임 판타지</v>
      </c>
    </row>
    <row r="4681" spans="1:48" x14ac:dyDescent="0.4">
      <c r="A4681">
        <v>2313008398</v>
      </c>
      <c r="B4681">
        <v>2313008398</v>
      </c>
      <c r="C4681" t="str">
        <f>T("[e북]기사가문 망나니는 10클래스 1권")</f>
        <v>[e북]기사가문 망나니는 10클래스 1권</v>
      </c>
      <c r="D4681" t="str">
        <f>T("1")</f>
        <v>1</v>
      </c>
      <c r="E4681" t="str">
        <f t="shared" ref="E4681:E4687" si="627">T("예로나")</f>
        <v>예로나</v>
      </c>
      <c r="H4681" t="str">
        <f t="shared" si="622"/>
        <v>스토리위즈</v>
      </c>
      <c r="I4681" t="str">
        <f t="shared" ref="I4681:I4687" si="628">T("[e북]기사가문 망나니는 10클래스")</f>
        <v>[e북]기사가문 망나니는 10클래스</v>
      </c>
      <c r="J4681">
        <v>0</v>
      </c>
      <c r="K4681">
        <v>0</v>
      </c>
      <c r="L4681">
        <v>0</v>
      </c>
      <c r="M4681">
        <v>118</v>
      </c>
      <c r="N4681">
        <v>0</v>
      </c>
      <c r="O4681">
        <v>0</v>
      </c>
      <c r="P4681">
        <v>86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204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R4681" t="str">
        <f t="shared" si="626"/>
        <v>0000000000000</v>
      </c>
      <c r="AT4681" t="str">
        <f>T("9791165311612")</f>
        <v>9791165311612</v>
      </c>
      <c r="AV4681" t="str">
        <f t="shared" ref="AV4681:AV4687" si="629">T("판타지 e북 &gt; 퓨전 판타지")</f>
        <v>판타지 e북 &gt; 퓨전 판타지</v>
      </c>
    </row>
    <row r="4682" spans="1:48" x14ac:dyDescent="0.4">
      <c r="A4682">
        <v>2313008398</v>
      </c>
      <c r="B4682">
        <v>2313008400</v>
      </c>
      <c r="C4682" t="str">
        <f>T("[e북]기사가문 망나니는 10클래스 3권")</f>
        <v>[e북]기사가문 망나니는 10클래스 3권</v>
      </c>
      <c r="D4682" t="str">
        <f>T("3")</f>
        <v>3</v>
      </c>
      <c r="E4682" t="str">
        <f t="shared" si="627"/>
        <v>예로나</v>
      </c>
      <c r="H4682" t="str">
        <f t="shared" si="622"/>
        <v>스토리위즈</v>
      </c>
      <c r="I4682" t="str">
        <f t="shared" si="628"/>
        <v>[e북]기사가문 망나니는 10클래스</v>
      </c>
      <c r="J4682">
        <v>3200</v>
      </c>
      <c r="K4682">
        <v>0</v>
      </c>
      <c r="L4682">
        <v>0</v>
      </c>
      <c r="M4682">
        <v>0</v>
      </c>
      <c r="N4682">
        <v>57870</v>
      </c>
      <c r="O4682">
        <v>76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57870</v>
      </c>
      <c r="AH4682">
        <v>76</v>
      </c>
      <c r="AI4682">
        <v>0</v>
      </c>
      <c r="AJ4682">
        <v>0</v>
      </c>
      <c r="AK4682">
        <v>57303</v>
      </c>
      <c r="AL4682">
        <v>0</v>
      </c>
      <c r="AM4682">
        <v>680.4</v>
      </c>
      <c r="AN4682">
        <v>-204.12</v>
      </c>
      <c r="AO4682">
        <v>0</v>
      </c>
      <c r="AP4682">
        <v>40445.5</v>
      </c>
      <c r="AR4682" t="str">
        <f t="shared" si="626"/>
        <v>0000000000000</v>
      </c>
      <c r="AT4682" t="str">
        <f>T("9791165311636")</f>
        <v>9791165311636</v>
      </c>
      <c r="AV4682" t="str">
        <f t="shared" si="629"/>
        <v>판타지 e북 &gt; 퓨전 판타지</v>
      </c>
    </row>
    <row r="4683" spans="1:48" x14ac:dyDescent="0.4">
      <c r="A4683">
        <v>2313008398</v>
      </c>
      <c r="B4683">
        <v>2313008401</v>
      </c>
      <c r="C4683" t="str">
        <f>T("[e북]기사가문 망나니는 10클래스 4권")</f>
        <v>[e북]기사가문 망나니는 10클래스 4권</v>
      </c>
      <c r="D4683" t="str">
        <f>T("4")</f>
        <v>4</v>
      </c>
      <c r="E4683" t="str">
        <f t="shared" si="627"/>
        <v>예로나</v>
      </c>
      <c r="H4683" t="str">
        <f t="shared" si="622"/>
        <v>스토리위즈</v>
      </c>
      <c r="I4683" t="str">
        <f t="shared" si="628"/>
        <v>[e북]기사가문 망나니는 10클래스</v>
      </c>
      <c r="J4683">
        <v>3200</v>
      </c>
      <c r="K4683">
        <v>0</v>
      </c>
      <c r="L4683">
        <v>0</v>
      </c>
      <c r="M4683">
        <v>0</v>
      </c>
      <c r="N4683">
        <v>47970</v>
      </c>
      <c r="O4683">
        <v>65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47970</v>
      </c>
      <c r="AH4683">
        <v>65</v>
      </c>
      <c r="AI4683">
        <v>0</v>
      </c>
      <c r="AJ4683">
        <v>0</v>
      </c>
      <c r="AK4683">
        <v>47403</v>
      </c>
      <c r="AL4683">
        <v>0</v>
      </c>
      <c r="AM4683">
        <v>680.4</v>
      </c>
      <c r="AN4683">
        <v>-204.12</v>
      </c>
      <c r="AO4683">
        <v>0</v>
      </c>
      <c r="AP4683">
        <v>33515.5</v>
      </c>
      <c r="AR4683" t="str">
        <f t="shared" si="626"/>
        <v>0000000000000</v>
      </c>
      <c r="AT4683" t="str">
        <f>T("9791165311643")</f>
        <v>9791165311643</v>
      </c>
      <c r="AV4683" t="str">
        <f t="shared" si="629"/>
        <v>판타지 e북 &gt; 퓨전 판타지</v>
      </c>
    </row>
    <row r="4684" spans="1:48" x14ac:dyDescent="0.4">
      <c r="A4684">
        <v>2313008398</v>
      </c>
      <c r="B4684">
        <v>2313008403</v>
      </c>
      <c r="C4684" t="str">
        <f>T("[e북]기사가문 망나니는 10클래스 5권")</f>
        <v>[e북]기사가문 망나니는 10클래스 5권</v>
      </c>
      <c r="D4684" t="str">
        <f>T("5")</f>
        <v>5</v>
      </c>
      <c r="E4684" t="str">
        <f t="shared" si="627"/>
        <v>예로나</v>
      </c>
      <c r="H4684" t="str">
        <f t="shared" si="622"/>
        <v>스토리위즈</v>
      </c>
      <c r="I4684" t="str">
        <f t="shared" si="628"/>
        <v>[e북]기사가문 망나니는 10클래스</v>
      </c>
      <c r="J4684">
        <v>3200</v>
      </c>
      <c r="K4684">
        <v>0</v>
      </c>
      <c r="L4684">
        <v>0</v>
      </c>
      <c r="M4684">
        <v>0</v>
      </c>
      <c r="N4684">
        <v>42570</v>
      </c>
      <c r="O4684">
        <v>59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42570</v>
      </c>
      <c r="AH4684">
        <v>59</v>
      </c>
      <c r="AI4684">
        <v>0</v>
      </c>
      <c r="AJ4684">
        <v>0</v>
      </c>
      <c r="AK4684">
        <v>42003</v>
      </c>
      <c r="AL4684">
        <v>0</v>
      </c>
      <c r="AM4684">
        <v>680.4</v>
      </c>
      <c r="AN4684">
        <v>-204.12</v>
      </c>
      <c r="AO4684">
        <v>0</v>
      </c>
      <c r="AP4684">
        <v>29735.5</v>
      </c>
      <c r="AR4684" t="str">
        <f t="shared" si="626"/>
        <v>0000000000000</v>
      </c>
      <c r="AT4684" t="str">
        <f>T("9791165311650")</f>
        <v>9791165311650</v>
      </c>
      <c r="AV4684" t="str">
        <f t="shared" si="629"/>
        <v>판타지 e북 &gt; 퓨전 판타지</v>
      </c>
    </row>
    <row r="4685" spans="1:48" x14ac:dyDescent="0.4">
      <c r="A4685">
        <v>2313008398</v>
      </c>
      <c r="B4685">
        <v>2313008404</v>
      </c>
      <c r="C4685" t="str">
        <f>T("[e북]기사가문 망나니는 10클래스 6권")</f>
        <v>[e북]기사가문 망나니는 10클래스 6권</v>
      </c>
      <c r="D4685" t="str">
        <f>T("6")</f>
        <v>6</v>
      </c>
      <c r="E4685" t="str">
        <f t="shared" si="627"/>
        <v>예로나</v>
      </c>
      <c r="H4685" t="str">
        <f t="shared" si="622"/>
        <v>스토리위즈</v>
      </c>
      <c r="I4685" t="str">
        <f t="shared" si="628"/>
        <v>[e북]기사가문 망나니는 10클래스</v>
      </c>
      <c r="J4685">
        <v>3200</v>
      </c>
      <c r="K4685">
        <v>0</v>
      </c>
      <c r="L4685">
        <v>0</v>
      </c>
      <c r="M4685">
        <v>0</v>
      </c>
      <c r="N4685">
        <v>39870</v>
      </c>
      <c r="O4685">
        <v>56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39870</v>
      </c>
      <c r="AH4685">
        <v>56</v>
      </c>
      <c r="AI4685">
        <v>0</v>
      </c>
      <c r="AJ4685">
        <v>0</v>
      </c>
      <c r="AK4685">
        <v>39303</v>
      </c>
      <c r="AL4685">
        <v>0</v>
      </c>
      <c r="AM4685">
        <v>680.4</v>
      </c>
      <c r="AN4685">
        <v>-204.12</v>
      </c>
      <c r="AO4685">
        <v>0</v>
      </c>
      <c r="AP4685">
        <v>27845.5</v>
      </c>
      <c r="AR4685" t="str">
        <f t="shared" si="626"/>
        <v>0000000000000</v>
      </c>
      <c r="AT4685" t="str">
        <f>T("9791165311667")</f>
        <v>9791165311667</v>
      </c>
      <c r="AV4685" t="str">
        <f t="shared" si="629"/>
        <v>판타지 e북 &gt; 퓨전 판타지</v>
      </c>
    </row>
    <row r="4686" spans="1:48" x14ac:dyDescent="0.4">
      <c r="A4686">
        <v>2313008398</v>
      </c>
      <c r="B4686">
        <v>2313008405</v>
      </c>
      <c r="C4686" t="str">
        <f>T("[e북]기사가문 망나니는 10클래스 7권")</f>
        <v>[e북]기사가문 망나니는 10클래스 7권</v>
      </c>
      <c r="D4686" t="str">
        <f>T("7")</f>
        <v>7</v>
      </c>
      <c r="E4686" t="str">
        <f t="shared" si="627"/>
        <v>예로나</v>
      </c>
      <c r="H4686" t="str">
        <f t="shared" si="622"/>
        <v>스토리위즈</v>
      </c>
      <c r="I4686" t="str">
        <f t="shared" si="628"/>
        <v>[e북]기사가문 망나니는 10클래스</v>
      </c>
      <c r="J4686">
        <v>3200</v>
      </c>
      <c r="K4686">
        <v>0</v>
      </c>
      <c r="L4686">
        <v>0</v>
      </c>
      <c r="M4686">
        <v>0</v>
      </c>
      <c r="N4686">
        <v>33570</v>
      </c>
      <c r="O4686">
        <v>49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33570</v>
      </c>
      <c r="AH4686">
        <v>49</v>
      </c>
      <c r="AI4686">
        <v>0</v>
      </c>
      <c r="AJ4686">
        <v>0</v>
      </c>
      <c r="AK4686">
        <v>33003</v>
      </c>
      <c r="AL4686">
        <v>0</v>
      </c>
      <c r="AM4686">
        <v>680.4</v>
      </c>
      <c r="AN4686">
        <v>-204.12</v>
      </c>
      <c r="AO4686">
        <v>0</v>
      </c>
      <c r="AP4686">
        <v>23435.5</v>
      </c>
      <c r="AR4686" t="str">
        <f t="shared" si="626"/>
        <v>0000000000000</v>
      </c>
      <c r="AT4686" t="str">
        <f>T("9791165311674")</f>
        <v>9791165311674</v>
      </c>
      <c r="AV4686" t="str">
        <f t="shared" si="629"/>
        <v>판타지 e북 &gt; 퓨전 판타지</v>
      </c>
    </row>
    <row r="4687" spans="1:48" x14ac:dyDescent="0.4">
      <c r="A4687">
        <v>2313008398</v>
      </c>
      <c r="B4687">
        <v>2313008406</v>
      </c>
      <c r="C4687" t="str">
        <f>T("[e북]기사가문 망나니는 10클래스 8권 (완결)")</f>
        <v>[e북]기사가문 망나니는 10클래스 8권 (완결)</v>
      </c>
      <c r="D4687" t="str">
        <f>T("8")</f>
        <v>8</v>
      </c>
      <c r="E4687" t="str">
        <f t="shared" si="627"/>
        <v>예로나</v>
      </c>
      <c r="H4687" t="str">
        <f t="shared" si="622"/>
        <v>스토리위즈</v>
      </c>
      <c r="I4687" t="str">
        <f t="shared" si="628"/>
        <v>[e북]기사가문 망나니는 10클래스</v>
      </c>
      <c r="J4687">
        <v>3200</v>
      </c>
      <c r="K4687">
        <v>0</v>
      </c>
      <c r="L4687">
        <v>0</v>
      </c>
      <c r="M4687">
        <v>0</v>
      </c>
      <c r="N4687">
        <v>30870</v>
      </c>
      <c r="O4687">
        <v>46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30870</v>
      </c>
      <c r="AH4687">
        <v>46</v>
      </c>
      <c r="AI4687">
        <v>0</v>
      </c>
      <c r="AJ4687">
        <v>0</v>
      </c>
      <c r="AK4687">
        <v>30303</v>
      </c>
      <c r="AL4687">
        <v>0</v>
      </c>
      <c r="AM4687">
        <v>680.4</v>
      </c>
      <c r="AN4687">
        <v>-204.12</v>
      </c>
      <c r="AO4687">
        <v>0</v>
      </c>
      <c r="AP4687">
        <v>21545.5</v>
      </c>
      <c r="AR4687" t="str">
        <f t="shared" si="626"/>
        <v>0000000000000</v>
      </c>
      <c r="AT4687" t="str">
        <f>T("9791165311681")</f>
        <v>9791165311681</v>
      </c>
      <c r="AV4687" t="str">
        <f t="shared" si="629"/>
        <v>판타지 e북 &gt; 퓨전 판타지</v>
      </c>
    </row>
    <row r="4688" spans="1:48" x14ac:dyDescent="0.4">
      <c r="A4688">
        <v>2313008716</v>
      </c>
      <c r="B4688">
        <v>2313008716</v>
      </c>
      <c r="C4688" t="str">
        <f>T("게임 속 유닛 1화")</f>
        <v>게임 속 유닛 1화</v>
      </c>
      <c r="D4688" t="str">
        <f>T("1")</f>
        <v>1</v>
      </c>
      <c r="E4688" t="str">
        <f t="shared" ref="E4688:E4718" si="630">T("찬동")</f>
        <v>찬동</v>
      </c>
      <c r="H4688" t="str">
        <f t="shared" si="622"/>
        <v>스토리위즈</v>
      </c>
      <c r="I4688" t="str">
        <f t="shared" ref="I4688:I4718" si="631">T("게임 속 유닛")</f>
        <v>게임 속 유닛</v>
      </c>
      <c r="J4688">
        <v>0</v>
      </c>
      <c r="K4688">
        <v>0</v>
      </c>
      <c r="L4688">
        <v>0</v>
      </c>
      <c r="M4688">
        <v>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2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T4688" t="str">
        <f t="shared" ref="AT4688:AT4718" si="632">T("9791197098475")</f>
        <v>9791197098475</v>
      </c>
      <c r="AV4688" t="str">
        <f t="shared" ref="AV4688:AV4718" si="633">T("판타지 웹소설 &gt; 퓨전 판타지")</f>
        <v>판타지 웹소설 &gt; 퓨전 판타지</v>
      </c>
    </row>
    <row r="4689" spans="1:48" x14ac:dyDescent="0.4">
      <c r="A4689">
        <v>2313008716</v>
      </c>
      <c r="B4689">
        <v>2313008717</v>
      </c>
      <c r="C4689" t="str">
        <f>T("게임 속 유닛 2화")</f>
        <v>게임 속 유닛 2화</v>
      </c>
      <c r="D4689" t="str">
        <f>T("2")</f>
        <v>2</v>
      </c>
      <c r="E4689" t="str">
        <f t="shared" si="630"/>
        <v>찬동</v>
      </c>
      <c r="H4689" t="str">
        <f t="shared" si="622"/>
        <v>스토리위즈</v>
      </c>
      <c r="I4689" t="str">
        <f t="shared" si="631"/>
        <v>게임 속 유닛</v>
      </c>
      <c r="J4689">
        <v>0</v>
      </c>
      <c r="K4689">
        <v>0</v>
      </c>
      <c r="L4689">
        <v>0</v>
      </c>
      <c r="M4689">
        <v>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2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T4689" t="str">
        <f t="shared" si="632"/>
        <v>9791197098475</v>
      </c>
      <c r="AV4689" t="str">
        <f t="shared" si="633"/>
        <v>판타지 웹소설 &gt; 퓨전 판타지</v>
      </c>
    </row>
    <row r="4690" spans="1:48" x14ac:dyDescent="0.4">
      <c r="A4690">
        <v>2313008716</v>
      </c>
      <c r="B4690">
        <v>2313008718</v>
      </c>
      <c r="C4690" t="str">
        <f>T("게임 속 유닛 3화")</f>
        <v>게임 속 유닛 3화</v>
      </c>
      <c r="D4690" t="str">
        <f>T("3")</f>
        <v>3</v>
      </c>
      <c r="E4690" t="str">
        <f t="shared" si="630"/>
        <v>찬동</v>
      </c>
      <c r="H4690" t="str">
        <f t="shared" si="622"/>
        <v>스토리위즈</v>
      </c>
      <c r="I4690" t="str">
        <f t="shared" si="631"/>
        <v>게임 속 유닛</v>
      </c>
      <c r="J4690">
        <v>0</v>
      </c>
      <c r="K4690">
        <v>0</v>
      </c>
      <c r="L4690">
        <v>0</v>
      </c>
      <c r="M4690">
        <v>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2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T4690" t="str">
        <f t="shared" si="632"/>
        <v>9791197098475</v>
      </c>
      <c r="AV4690" t="str">
        <f t="shared" si="633"/>
        <v>판타지 웹소설 &gt; 퓨전 판타지</v>
      </c>
    </row>
    <row r="4691" spans="1:48" x14ac:dyDescent="0.4">
      <c r="A4691">
        <v>2313008716</v>
      </c>
      <c r="B4691">
        <v>2313008719</v>
      </c>
      <c r="C4691" t="str">
        <f>T("게임 속 유닛 4화")</f>
        <v>게임 속 유닛 4화</v>
      </c>
      <c r="D4691" t="str">
        <f>T("4")</f>
        <v>4</v>
      </c>
      <c r="E4691" t="str">
        <f t="shared" si="630"/>
        <v>찬동</v>
      </c>
      <c r="H4691" t="str">
        <f t="shared" si="622"/>
        <v>스토리위즈</v>
      </c>
      <c r="I4691" t="str">
        <f t="shared" si="631"/>
        <v>게임 속 유닛</v>
      </c>
      <c r="J4691">
        <v>0</v>
      </c>
      <c r="K4691">
        <v>0</v>
      </c>
      <c r="L4691">
        <v>0</v>
      </c>
      <c r="M4691">
        <v>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2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T4691" t="str">
        <f t="shared" si="632"/>
        <v>9791197098475</v>
      </c>
      <c r="AV4691" t="str">
        <f t="shared" si="633"/>
        <v>판타지 웹소설 &gt; 퓨전 판타지</v>
      </c>
    </row>
    <row r="4692" spans="1:48" x14ac:dyDescent="0.4">
      <c r="A4692">
        <v>2313008716</v>
      </c>
      <c r="B4692">
        <v>2313008720</v>
      </c>
      <c r="C4692" t="str">
        <f>T("게임 속 유닛 5화")</f>
        <v>게임 속 유닛 5화</v>
      </c>
      <c r="D4692" t="str">
        <f>T("5")</f>
        <v>5</v>
      </c>
      <c r="E4692" t="str">
        <f t="shared" si="630"/>
        <v>찬동</v>
      </c>
      <c r="H4692" t="str">
        <f t="shared" si="622"/>
        <v>스토리위즈</v>
      </c>
      <c r="I4692" t="str">
        <f t="shared" si="631"/>
        <v>게임 속 유닛</v>
      </c>
      <c r="J4692">
        <v>0</v>
      </c>
      <c r="K4692">
        <v>0</v>
      </c>
      <c r="L4692">
        <v>0</v>
      </c>
      <c r="M4692">
        <v>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2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T4692" t="str">
        <f t="shared" si="632"/>
        <v>9791197098475</v>
      </c>
      <c r="AV4692" t="str">
        <f t="shared" si="633"/>
        <v>판타지 웹소설 &gt; 퓨전 판타지</v>
      </c>
    </row>
    <row r="4693" spans="1:48" x14ac:dyDescent="0.4">
      <c r="A4693">
        <v>2313008716</v>
      </c>
      <c r="B4693">
        <v>2313008721</v>
      </c>
      <c r="C4693" t="str">
        <f>T("게임 속 유닛 6화")</f>
        <v>게임 속 유닛 6화</v>
      </c>
      <c r="D4693" t="str">
        <f>T("6")</f>
        <v>6</v>
      </c>
      <c r="E4693" t="str">
        <f t="shared" si="630"/>
        <v>찬동</v>
      </c>
      <c r="H4693" t="str">
        <f t="shared" si="622"/>
        <v>스토리위즈</v>
      </c>
      <c r="I4693" t="str">
        <f t="shared" si="631"/>
        <v>게임 속 유닛</v>
      </c>
      <c r="J4693">
        <v>0</v>
      </c>
      <c r="K4693">
        <v>0</v>
      </c>
      <c r="L4693">
        <v>0</v>
      </c>
      <c r="M4693">
        <v>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2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T4693" t="str">
        <f t="shared" si="632"/>
        <v>9791197098475</v>
      </c>
      <c r="AV4693" t="str">
        <f t="shared" si="633"/>
        <v>판타지 웹소설 &gt; 퓨전 판타지</v>
      </c>
    </row>
    <row r="4694" spans="1:48" x14ac:dyDescent="0.4">
      <c r="A4694">
        <v>2313008716</v>
      </c>
      <c r="B4694">
        <v>2313008722</v>
      </c>
      <c r="C4694" t="str">
        <f>T("게임 속 유닛 7화")</f>
        <v>게임 속 유닛 7화</v>
      </c>
      <c r="D4694" t="str">
        <f>T("7")</f>
        <v>7</v>
      </c>
      <c r="E4694" t="str">
        <f t="shared" si="630"/>
        <v>찬동</v>
      </c>
      <c r="H4694" t="str">
        <f t="shared" si="622"/>
        <v>스토리위즈</v>
      </c>
      <c r="I4694" t="str">
        <f t="shared" si="631"/>
        <v>게임 속 유닛</v>
      </c>
      <c r="J4694">
        <v>0</v>
      </c>
      <c r="K4694">
        <v>0</v>
      </c>
      <c r="L4694">
        <v>0</v>
      </c>
      <c r="M4694">
        <v>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2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T4694" t="str">
        <f t="shared" si="632"/>
        <v>9791197098475</v>
      </c>
      <c r="AV4694" t="str">
        <f t="shared" si="633"/>
        <v>판타지 웹소설 &gt; 퓨전 판타지</v>
      </c>
    </row>
    <row r="4695" spans="1:48" x14ac:dyDescent="0.4">
      <c r="A4695">
        <v>2313008716</v>
      </c>
      <c r="B4695">
        <v>2313008723</v>
      </c>
      <c r="C4695" t="str">
        <f>T("게임 속 유닛 8화")</f>
        <v>게임 속 유닛 8화</v>
      </c>
      <c r="D4695" t="str">
        <f>T("8")</f>
        <v>8</v>
      </c>
      <c r="E4695" t="str">
        <f t="shared" si="630"/>
        <v>찬동</v>
      </c>
      <c r="H4695" t="str">
        <f t="shared" si="622"/>
        <v>스토리위즈</v>
      </c>
      <c r="I4695" t="str">
        <f t="shared" si="631"/>
        <v>게임 속 유닛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T4695" t="str">
        <f t="shared" si="632"/>
        <v>9791197098475</v>
      </c>
      <c r="AV4695" t="str">
        <f t="shared" si="633"/>
        <v>판타지 웹소설 &gt; 퓨전 판타지</v>
      </c>
    </row>
    <row r="4696" spans="1:48" x14ac:dyDescent="0.4">
      <c r="A4696">
        <v>2313008716</v>
      </c>
      <c r="B4696">
        <v>2313008724</v>
      </c>
      <c r="C4696" t="str">
        <f>T("게임 속 유닛 9화")</f>
        <v>게임 속 유닛 9화</v>
      </c>
      <c r="D4696" t="str">
        <f>T("9")</f>
        <v>9</v>
      </c>
      <c r="E4696" t="str">
        <f t="shared" si="630"/>
        <v>찬동</v>
      </c>
      <c r="H4696" t="str">
        <f t="shared" si="622"/>
        <v>스토리위즈</v>
      </c>
      <c r="I4696" t="str">
        <f t="shared" si="631"/>
        <v>게임 속 유닛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T4696" t="str">
        <f t="shared" si="632"/>
        <v>9791197098475</v>
      </c>
      <c r="AV4696" t="str">
        <f t="shared" si="633"/>
        <v>판타지 웹소설 &gt; 퓨전 판타지</v>
      </c>
    </row>
    <row r="4697" spans="1:48" x14ac:dyDescent="0.4">
      <c r="A4697">
        <v>2313008716</v>
      </c>
      <c r="B4697">
        <v>2313008725</v>
      </c>
      <c r="C4697" t="str">
        <f>T("게임 속 유닛 10화")</f>
        <v>게임 속 유닛 10화</v>
      </c>
      <c r="D4697" t="str">
        <f>T("10")</f>
        <v>10</v>
      </c>
      <c r="E4697" t="str">
        <f t="shared" si="630"/>
        <v>찬동</v>
      </c>
      <c r="H4697" t="str">
        <f t="shared" si="622"/>
        <v>스토리위즈</v>
      </c>
      <c r="I4697" t="str">
        <f t="shared" si="631"/>
        <v>게임 속 유닛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T4697" t="str">
        <f t="shared" si="632"/>
        <v>9791197098475</v>
      </c>
      <c r="AV4697" t="str">
        <f t="shared" si="633"/>
        <v>판타지 웹소설 &gt; 퓨전 판타지</v>
      </c>
    </row>
    <row r="4698" spans="1:48" x14ac:dyDescent="0.4">
      <c r="A4698">
        <v>2313008716</v>
      </c>
      <c r="B4698">
        <v>2313008726</v>
      </c>
      <c r="C4698" t="str">
        <f>T("게임 속 유닛 11화")</f>
        <v>게임 속 유닛 11화</v>
      </c>
      <c r="D4698" t="str">
        <f>T("11")</f>
        <v>11</v>
      </c>
      <c r="E4698" t="str">
        <f t="shared" si="630"/>
        <v>찬동</v>
      </c>
      <c r="H4698" t="str">
        <f t="shared" si="622"/>
        <v>스토리위즈</v>
      </c>
      <c r="I4698" t="str">
        <f t="shared" si="631"/>
        <v>게임 속 유닛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T4698" t="str">
        <f t="shared" si="632"/>
        <v>9791197098475</v>
      </c>
      <c r="AV4698" t="str">
        <f t="shared" si="633"/>
        <v>판타지 웹소설 &gt; 퓨전 판타지</v>
      </c>
    </row>
    <row r="4699" spans="1:48" x14ac:dyDescent="0.4">
      <c r="A4699">
        <v>2313008716</v>
      </c>
      <c r="B4699">
        <v>2313008727</v>
      </c>
      <c r="C4699" t="str">
        <f>T("게임 속 유닛 12화")</f>
        <v>게임 속 유닛 12화</v>
      </c>
      <c r="D4699" t="str">
        <f>T("12")</f>
        <v>12</v>
      </c>
      <c r="E4699" t="str">
        <f t="shared" si="630"/>
        <v>찬동</v>
      </c>
      <c r="H4699" t="str">
        <f t="shared" si="622"/>
        <v>스토리위즈</v>
      </c>
      <c r="I4699" t="str">
        <f t="shared" si="631"/>
        <v>게임 속 유닛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T4699" t="str">
        <f t="shared" si="632"/>
        <v>9791197098475</v>
      </c>
      <c r="AV4699" t="str">
        <f t="shared" si="633"/>
        <v>판타지 웹소설 &gt; 퓨전 판타지</v>
      </c>
    </row>
    <row r="4700" spans="1:48" x14ac:dyDescent="0.4">
      <c r="A4700">
        <v>2313008716</v>
      </c>
      <c r="B4700">
        <v>2313008728</v>
      </c>
      <c r="C4700" t="str">
        <f>T("게임 속 유닛 13화")</f>
        <v>게임 속 유닛 13화</v>
      </c>
      <c r="D4700" t="str">
        <f>T("13")</f>
        <v>13</v>
      </c>
      <c r="E4700" t="str">
        <f t="shared" si="630"/>
        <v>찬동</v>
      </c>
      <c r="H4700" t="str">
        <f t="shared" si="622"/>
        <v>스토리위즈</v>
      </c>
      <c r="I4700" t="str">
        <f t="shared" si="631"/>
        <v>게임 속 유닛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T4700" t="str">
        <f t="shared" si="632"/>
        <v>9791197098475</v>
      </c>
      <c r="AV4700" t="str">
        <f t="shared" si="633"/>
        <v>판타지 웹소설 &gt; 퓨전 판타지</v>
      </c>
    </row>
    <row r="4701" spans="1:48" x14ac:dyDescent="0.4">
      <c r="A4701">
        <v>2313008716</v>
      </c>
      <c r="B4701">
        <v>2313008729</v>
      </c>
      <c r="C4701" t="str">
        <f>T("게임 속 유닛 14화")</f>
        <v>게임 속 유닛 14화</v>
      </c>
      <c r="D4701" t="str">
        <f>T("14")</f>
        <v>14</v>
      </c>
      <c r="E4701" t="str">
        <f t="shared" si="630"/>
        <v>찬동</v>
      </c>
      <c r="H4701" t="str">
        <f t="shared" si="622"/>
        <v>스토리위즈</v>
      </c>
      <c r="I4701" t="str">
        <f t="shared" si="631"/>
        <v>게임 속 유닛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1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T4701" t="str">
        <f t="shared" si="632"/>
        <v>9791197098475</v>
      </c>
      <c r="AV4701" t="str">
        <f t="shared" si="633"/>
        <v>판타지 웹소설 &gt; 퓨전 판타지</v>
      </c>
    </row>
    <row r="4702" spans="1:48" x14ac:dyDescent="0.4">
      <c r="A4702">
        <v>2313008716</v>
      </c>
      <c r="B4702">
        <v>2313008730</v>
      </c>
      <c r="C4702" t="str">
        <f>T("게임 속 유닛 15화")</f>
        <v>게임 속 유닛 15화</v>
      </c>
      <c r="D4702" t="str">
        <f>T("15")</f>
        <v>15</v>
      </c>
      <c r="E4702" t="str">
        <f t="shared" si="630"/>
        <v>찬동</v>
      </c>
      <c r="H4702" t="str">
        <f t="shared" si="622"/>
        <v>스토리위즈</v>
      </c>
      <c r="I4702" t="str">
        <f t="shared" si="631"/>
        <v>게임 속 유닛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T4702" t="str">
        <f t="shared" si="632"/>
        <v>9791197098475</v>
      </c>
      <c r="AV4702" t="str">
        <f t="shared" si="633"/>
        <v>판타지 웹소설 &gt; 퓨전 판타지</v>
      </c>
    </row>
    <row r="4703" spans="1:48" x14ac:dyDescent="0.4">
      <c r="A4703">
        <v>2313008716</v>
      </c>
      <c r="B4703">
        <v>2313008731</v>
      </c>
      <c r="C4703" t="str">
        <f>T("게임 속 유닛 16화")</f>
        <v>게임 속 유닛 16화</v>
      </c>
      <c r="D4703" t="str">
        <f>T("16")</f>
        <v>16</v>
      </c>
      <c r="E4703" t="str">
        <f t="shared" si="630"/>
        <v>찬동</v>
      </c>
      <c r="H4703" t="str">
        <f t="shared" ref="H4703:H4766" si="634">T("스토리위즈")</f>
        <v>스토리위즈</v>
      </c>
      <c r="I4703" t="str">
        <f t="shared" si="631"/>
        <v>게임 속 유닛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1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T4703" t="str">
        <f t="shared" si="632"/>
        <v>9791197098475</v>
      </c>
      <c r="AV4703" t="str">
        <f t="shared" si="633"/>
        <v>판타지 웹소설 &gt; 퓨전 판타지</v>
      </c>
    </row>
    <row r="4704" spans="1:48" x14ac:dyDescent="0.4">
      <c r="A4704">
        <v>2313008716</v>
      </c>
      <c r="B4704">
        <v>2313008732</v>
      </c>
      <c r="C4704" t="str">
        <f>T("게임 속 유닛 17화")</f>
        <v>게임 속 유닛 17화</v>
      </c>
      <c r="D4704" t="str">
        <f>T("17")</f>
        <v>17</v>
      </c>
      <c r="E4704" t="str">
        <f t="shared" si="630"/>
        <v>찬동</v>
      </c>
      <c r="H4704" t="str">
        <f t="shared" si="634"/>
        <v>스토리위즈</v>
      </c>
      <c r="I4704" t="str">
        <f t="shared" si="631"/>
        <v>게임 속 유닛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T4704" t="str">
        <f t="shared" si="632"/>
        <v>9791197098475</v>
      </c>
      <c r="AV4704" t="str">
        <f t="shared" si="633"/>
        <v>판타지 웹소설 &gt; 퓨전 판타지</v>
      </c>
    </row>
    <row r="4705" spans="1:48" x14ac:dyDescent="0.4">
      <c r="A4705">
        <v>2313008716</v>
      </c>
      <c r="B4705">
        <v>2313008733</v>
      </c>
      <c r="C4705" t="str">
        <f>T("게임 속 유닛 18화")</f>
        <v>게임 속 유닛 18화</v>
      </c>
      <c r="D4705" t="str">
        <f>T("18")</f>
        <v>18</v>
      </c>
      <c r="E4705" t="str">
        <f t="shared" si="630"/>
        <v>찬동</v>
      </c>
      <c r="H4705" t="str">
        <f t="shared" si="634"/>
        <v>스토리위즈</v>
      </c>
      <c r="I4705" t="str">
        <f t="shared" si="631"/>
        <v>게임 속 유닛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T4705" t="str">
        <f t="shared" si="632"/>
        <v>9791197098475</v>
      </c>
      <c r="AV4705" t="str">
        <f t="shared" si="633"/>
        <v>판타지 웹소설 &gt; 퓨전 판타지</v>
      </c>
    </row>
    <row r="4706" spans="1:48" x14ac:dyDescent="0.4">
      <c r="A4706">
        <v>2313008716</v>
      </c>
      <c r="B4706">
        <v>2313008734</v>
      </c>
      <c r="C4706" t="str">
        <f>T("게임 속 유닛 19화")</f>
        <v>게임 속 유닛 19화</v>
      </c>
      <c r="D4706" t="str">
        <f>T("19")</f>
        <v>19</v>
      </c>
      <c r="E4706" t="str">
        <f t="shared" si="630"/>
        <v>찬동</v>
      </c>
      <c r="H4706" t="str">
        <f t="shared" si="634"/>
        <v>스토리위즈</v>
      </c>
      <c r="I4706" t="str">
        <f t="shared" si="631"/>
        <v>게임 속 유닛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T4706" t="str">
        <f t="shared" si="632"/>
        <v>9791197098475</v>
      </c>
      <c r="AV4706" t="str">
        <f t="shared" si="633"/>
        <v>판타지 웹소설 &gt; 퓨전 판타지</v>
      </c>
    </row>
    <row r="4707" spans="1:48" x14ac:dyDescent="0.4">
      <c r="A4707">
        <v>2313008716</v>
      </c>
      <c r="B4707">
        <v>2313008735</v>
      </c>
      <c r="C4707" t="str">
        <f>T("게임 속 유닛 20화")</f>
        <v>게임 속 유닛 20화</v>
      </c>
      <c r="D4707" t="str">
        <f>T("20")</f>
        <v>20</v>
      </c>
      <c r="E4707" t="str">
        <f t="shared" si="630"/>
        <v>찬동</v>
      </c>
      <c r="H4707" t="str">
        <f t="shared" si="634"/>
        <v>스토리위즈</v>
      </c>
      <c r="I4707" t="str">
        <f t="shared" si="631"/>
        <v>게임 속 유닛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T4707" t="str">
        <f t="shared" si="632"/>
        <v>9791197098475</v>
      </c>
      <c r="AV4707" t="str">
        <f t="shared" si="633"/>
        <v>판타지 웹소설 &gt; 퓨전 판타지</v>
      </c>
    </row>
    <row r="4708" spans="1:48" x14ac:dyDescent="0.4">
      <c r="A4708">
        <v>2313008716</v>
      </c>
      <c r="B4708">
        <v>2313008736</v>
      </c>
      <c r="C4708" t="str">
        <f>T("게임 속 유닛 21화")</f>
        <v>게임 속 유닛 21화</v>
      </c>
      <c r="D4708" t="str">
        <f>T("21")</f>
        <v>21</v>
      </c>
      <c r="E4708" t="str">
        <f t="shared" si="630"/>
        <v>찬동</v>
      </c>
      <c r="H4708" t="str">
        <f t="shared" si="634"/>
        <v>스토리위즈</v>
      </c>
      <c r="I4708" t="str">
        <f t="shared" si="631"/>
        <v>게임 속 유닛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T4708" t="str">
        <f t="shared" si="632"/>
        <v>9791197098475</v>
      </c>
      <c r="AV4708" t="str">
        <f t="shared" si="633"/>
        <v>판타지 웹소설 &gt; 퓨전 판타지</v>
      </c>
    </row>
    <row r="4709" spans="1:48" x14ac:dyDescent="0.4">
      <c r="A4709">
        <v>2313008716</v>
      </c>
      <c r="B4709">
        <v>2313008737</v>
      </c>
      <c r="C4709" t="str">
        <f>T("게임 속 유닛 22화")</f>
        <v>게임 속 유닛 22화</v>
      </c>
      <c r="D4709" t="str">
        <f>T("22")</f>
        <v>22</v>
      </c>
      <c r="E4709" t="str">
        <f t="shared" si="630"/>
        <v>찬동</v>
      </c>
      <c r="H4709" t="str">
        <f t="shared" si="634"/>
        <v>스토리위즈</v>
      </c>
      <c r="I4709" t="str">
        <f t="shared" si="631"/>
        <v>게임 속 유닛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T4709" t="str">
        <f t="shared" si="632"/>
        <v>9791197098475</v>
      </c>
      <c r="AV4709" t="str">
        <f t="shared" si="633"/>
        <v>판타지 웹소설 &gt; 퓨전 판타지</v>
      </c>
    </row>
    <row r="4710" spans="1:48" x14ac:dyDescent="0.4">
      <c r="A4710">
        <v>2313008716</v>
      </c>
      <c r="B4710">
        <v>2313008738</v>
      </c>
      <c r="C4710" t="str">
        <f>T("게임 속 유닛 23화")</f>
        <v>게임 속 유닛 23화</v>
      </c>
      <c r="D4710" t="str">
        <f>T("23")</f>
        <v>23</v>
      </c>
      <c r="E4710" t="str">
        <f t="shared" si="630"/>
        <v>찬동</v>
      </c>
      <c r="H4710" t="str">
        <f t="shared" si="634"/>
        <v>스토리위즈</v>
      </c>
      <c r="I4710" t="str">
        <f t="shared" si="631"/>
        <v>게임 속 유닛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T4710" t="str">
        <f t="shared" si="632"/>
        <v>9791197098475</v>
      </c>
      <c r="AV4710" t="str">
        <f t="shared" si="633"/>
        <v>판타지 웹소설 &gt; 퓨전 판타지</v>
      </c>
    </row>
    <row r="4711" spans="1:48" x14ac:dyDescent="0.4">
      <c r="A4711">
        <v>2313008716</v>
      </c>
      <c r="B4711">
        <v>2313008739</v>
      </c>
      <c r="C4711" t="str">
        <f>T("게임 속 유닛 24화")</f>
        <v>게임 속 유닛 24화</v>
      </c>
      <c r="D4711" t="str">
        <f>T("24")</f>
        <v>24</v>
      </c>
      <c r="E4711" t="str">
        <f t="shared" si="630"/>
        <v>찬동</v>
      </c>
      <c r="H4711" t="str">
        <f t="shared" si="634"/>
        <v>스토리위즈</v>
      </c>
      <c r="I4711" t="str">
        <f t="shared" si="631"/>
        <v>게임 속 유닛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T4711" t="str">
        <f t="shared" si="632"/>
        <v>9791197098475</v>
      </c>
      <c r="AV4711" t="str">
        <f t="shared" si="633"/>
        <v>판타지 웹소설 &gt; 퓨전 판타지</v>
      </c>
    </row>
    <row r="4712" spans="1:48" x14ac:dyDescent="0.4">
      <c r="A4712">
        <v>2313008716</v>
      </c>
      <c r="B4712">
        <v>2313008740</v>
      </c>
      <c r="C4712" t="str">
        <f>T("게임 속 유닛 25화")</f>
        <v>게임 속 유닛 25화</v>
      </c>
      <c r="D4712" t="str">
        <f>T("25")</f>
        <v>25</v>
      </c>
      <c r="E4712" t="str">
        <f t="shared" si="630"/>
        <v>찬동</v>
      </c>
      <c r="H4712" t="str">
        <f t="shared" si="634"/>
        <v>스토리위즈</v>
      </c>
      <c r="I4712" t="str">
        <f t="shared" si="631"/>
        <v>게임 속 유닛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T4712" t="str">
        <f t="shared" si="632"/>
        <v>9791197098475</v>
      </c>
      <c r="AV4712" t="str">
        <f t="shared" si="633"/>
        <v>판타지 웹소설 &gt; 퓨전 판타지</v>
      </c>
    </row>
    <row r="4713" spans="1:48" x14ac:dyDescent="0.4">
      <c r="A4713">
        <v>2313008716</v>
      </c>
      <c r="B4713">
        <v>2313008741</v>
      </c>
      <c r="C4713" t="str">
        <f>T("게임 속 유닛 26화")</f>
        <v>게임 속 유닛 26화</v>
      </c>
      <c r="D4713" t="str">
        <f>T("26")</f>
        <v>26</v>
      </c>
      <c r="E4713" t="str">
        <f t="shared" si="630"/>
        <v>찬동</v>
      </c>
      <c r="H4713" t="str">
        <f t="shared" si="634"/>
        <v>스토리위즈</v>
      </c>
      <c r="I4713" t="str">
        <f t="shared" si="631"/>
        <v>게임 속 유닛</v>
      </c>
      <c r="J4713">
        <v>100</v>
      </c>
      <c r="K4713">
        <v>0</v>
      </c>
      <c r="L4713">
        <v>0</v>
      </c>
      <c r="M4713">
        <v>0</v>
      </c>
      <c r="N4713">
        <v>100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100</v>
      </c>
      <c r="AH4713">
        <v>1</v>
      </c>
      <c r="AI4713">
        <v>0</v>
      </c>
      <c r="AJ4713">
        <v>0</v>
      </c>
      <c r="AK4713">
        <v>100</v>
      </c>
      <c r="AL4713">
        <v>0</v>
      </c>
      <c r="AM4713">
        <v>0</v>
      </c>
      <c r="AN4713">
        <v>0</v>
      </c>
      <c r="AO4713">
        <v>0</v>
      </c>
      <c r="AP4713">
        <v>70</v>
      </c>
      <c r="AT4713" t="str">
        <f t="shared" si="632"/>
        <v>9791197098475</v>
      </c>
      <c r="AV4713" t="str">
        <f t="shared" si="633"/>
        <v>판타지 웹소설 &gt; 퓨전 판타지</v>
      </c>
    </row>
    <row r="4714" spans="1:48" x14ac:dyDescent="0.4">
      <c r="A4714">
        <v>2313008716</v>
      </c>
      <c r="B4714">
        <v>2313008742</v>
      </c>
      <c r="C4714" t="str">
        <f>T("게임 속 유닛 27화")</f>
        <v>게임 속 유닛 27화</v>
      </c>
      <c r="D4714" t="str">
        <f>T("27")</f>
        <v>27</v>
      </c>
      <c r="E4714" t="str">
        <f t="shared" si="630"/>
        <v>찬동</v>
      </c>
      <c r="H4714" t="str">
        <f t="shared" si="634"/>
        <v>스토리위즈</v>
      </c>
      <c r="I4714" t="str">
        <f t="shared" si="631"/>
        <v>게임 속 유닛</v>
      </c>
      <c r="J4714">
        <v>100</v>
      </c>
      <c r="K4714">
        <v>0</v>
      </c>
      <c r="L4714">
        <v>0</v>
      </c>
      <c r="M4714">
        <v>0</v>
      </c>
      <c r="N4714">
        <v>100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100</v>
      </c>
      <c r="AH4714">
        <v>1</v>
      </c>
      <c r="AI4714">
        <v>0</v>
      </c>
      <c r="AJ4714">
        <v>0</v>
      </c>
      <c r="AK4714">
        <v>100</v>
      </c>
      <c r="AL4714">
        <v>0</v>
      </c>
      <c r="AM4714">
        <v>0</v>
      </c>
      <c r="AN4714">
        <v>0</v>
      </c>
      <c r="AO4714">
        <v>0</v>
      </c>
      <c r="AP4714">
        <v>70</v>
      </c>
      <c r="AT4714" t="str">
        <f t="shared" si="632"/>
        <v>9791197098475</v>
      </c>
      <c r="AV4714" t="str">
        <f t="shared" si="633"/>
        <v>판타지 웹소설 &gt; 퓨전 판타지</v>
      </c>
    </row>
    <row r="4715" spans="1:48" x14ac:dyDescent="0.4">
      <c r="A4715">
        <v>2313008716</v>
      </c>
      <c r="B4715">
        <v>2313008743</v>
      </c>
      <c r="C4715" t="str">
        <f>T("게임 속 유닛 28화")</f>
        <v>게임 속 유닛 28화</v>
      </c>
      <c r="D4715" t="str">
        <f>T("28")</f>
        <v>28</v>
      </c>
      <c r="E4715" t="str">
        <f t="shared" si="630"/>
        <v>찬동</v>
      </c>
      <c r="H4715" t="str">
        <f t="shared" si="634"/>
        <v>스토리위즈</v>
      </c>
      <c r="I4715" t="str">
        <f t="shared" si="631"/>
        <v>게임 속 유닛</v>
      </c>
      <c r="J4715">
        <v>100</v>
      </c>
      <c r="K4715">
        <v>0</v>
      </c>
      <c r="L4715">
        <v>0</v>
      </c>
      <c r="M4715">
        <v>0</v>
      </c>
      <c r="N4715">
        <v>100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100</v>
      </c>
      <c r="AH4715">
        <v>1</v>
      </c>
      <c r="AI4715">
        <v>0</v>
      </c>
      <c r="AJ4715">
        <v>0</v>
      </c>
      <c r="AK4715">
        <v>100</v>
      </c>
      <c r="AL4715">
        <v>0</v>
      </c>
      <c r="AM4715">
        <v>0</v>
      </c>
      <c r="AN4715">
        <v>0</v>
      </c>
      <c r="AO4715">
        <v>0</v>
      </c>
      <c r="AP4715">
        <v>70</v>
      </c>
      <c r="AT4715" t="str">
        <f t="shared" si="632"/>
        <v>9791197098475</v>
      </c>
      <c r="AV4715" t="str">
        <f t="shared" si="633"/>
        <v>판타지 웹소설 &gt; 퓨전 판타지</v>
      </c>
    </row>
    <row r="4716" spans="1:48" x14ac:dyDescent="0.4">
      <c r="A4716">
        <v>2313008716</v>
      </c>
      <c r="B4716">
        <v>2313008744</v>
      </c>
      <c r="C4716" t="str">
        <f>T("게임 속 유닛 29화")</f>
        <v>게임 속 유닛 29화</v>
      </c>
      <c r="D4716" t="str">
        <f>T("29")</f>
        <v>29</v>
      </c>
      <c r="E4716" t="str">
        <f t="shared" si="630"/>
        <v>찬동</v>
      </c>
      <c r="H4716" t="str">
        <f t="shared" si="634"/>
        <v>스토리위즈</v>
      </c>
      <c r="I4716" t="str">
        <f t="shared" si="631"/>
        <v>게임 속 유닛</v>
      </c>
      <c r="J4716">
        <v>100</v>
      </c>
      <c r="K4716">
        <v>0</v>
      </c>
      <c r="L4716">
        <v>0</v>
      </c>
      <c r="M4716">
        <v>0</v>
      </c>
      <c r="N4716">
        <v>100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100</v>
      </c>
      <c r="AH4716">
        <v>1</v>
      </c>
      <c r="AI4716">
        <v>0</v>
      </c>
      <c r="AJ4716">
        <v>0</v>
      </c>
      <c r="AK4716">
        <v>100</v>
      </c>
      <c r="AL4716">
        <v>0</v>
      </c>
      <c r="AM4716">
        <v>0</v>
      </c>
      <c r="AN4716">
        <v>0</v>
      </c>
      <c r="AO4716">
        <v>0</v>
      </c>
      <c r="AP4716">
        <v>70</v>
      </c>
      <c r="AT4716" t="str">
        <f t="shared" si="632"/>
        <v>9791197098475</v>
      </c>
      <c r="AV4716" t="str">
        <f t="shared" si="633"/>
        <v>판타지 웹소설 &gt; 퓨전 판타지</v>
      </c>
    </row>
    <row r="4717" spans="1:48" x14ac:dyDescent="0.4">
      <c r="A4717">
        <v>2313008716</v>
      </c>
      <c r="B4717">
        <v>2313008745</v>
      </c>
      <c r="C4717" t="str">
        <f>T("게임 속 유닛 30화")</f>
        <v>게임 속 유닛 30화</v>
      </c>
      <c r="D4717" t="str">
        <f>T("30")</f>
        <v>30</v>
      </c>
      <c r="E4717" t="str">
        <f t="shared" si="630"/>
        <v>찬동</v>
      </c>
      <c r="H4717" t="str">
        <f t="shared" si="634"/>
        <v>스토리위즈</v>
      </c>
      <c r="I4717" t="str">
        <f t="shared" si="631"/>
        <v>게임 속 유닛</v>
      </c>
      <c r="J4717">
        <v>100</v>
      </c>
      <c r="K4717">
        <v>0</v>
      </c>
      <c r="L4717">
        <v>0</v>
      </c>
      <c r="M4717">
        <v>0</v>
      </c>
      <c r="N4717">
        <v>100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100</v>
      </c>
      <c r="AH4717">
        <v>1</v>
      </c>
      <c r="AI4717">
        <v>0</v>
      </c>
      <c r="AJ4717">
        <v>0</v>
      </c>
      <c r="AK4717">
        <v>100</v>
      </c>
      <c r="AL4717">
        <v>0</v>
      </c>
      <c r="AM4717">
        <v>0</v>
      </c>
      <c r="AN4717">
        <v>0</v>
      </c>
      <c r="AO4717">
        <v>0</v>
      </c>
      <c r="AP4717">
        <v>70</v>
      </c>
      <c r="AT4717" t="str">
        <f t="shared" si="632"/>
        <v>9791197098475</v>
      </c>
      <c r="AV4717" t="str">
        <f t="shared" si="633"/>
        <v>판타지 웹소설 &gt; 퓨전 판타지</v>
      </c>
    </row>
    <row r="4718" spans="1:48" x14ac:dyDescent="0.4">
      <c r="A4718">
        <v>2313008716</v>
      </c>
      <c r="B4718">
        <v>2313008746</v>
      </c>
      <c r="C4718" t="str">
        <f>T("게임 속 유닛 31화")</f>
        <v>게임 속 유닛 31화</v>
      </c>
      <c r="D4718" t="str">
        <f>T("31")</f>
        <v>31</v>
      </c>
      <c r="E4718" t="str">
        <f t="shared" si="630"/>
        <v>찬동</v>
      </c>
      <c r="H4718" t="str">
        <f t="shared" si="634"/>
        <v>스토리위즈</v>
      </c>
      <c r="I4718" t="str">
        <f t="shared" si="631"/>
        <v>게임 속 유닛</v>
      </c>
      <c r="J4718">
        <v>100</v>
      </c>
      <c r="K4718">
        <v>0</v>
      </c>
      <c r="L4718">
        <v>0</v>
      </c>
      <c r="M4718">
        <v>0</v>
      </c>
      <c r="N4718">
        <v>100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100</v>
      </c>
      <c r="AH4718">
        <v>1</v>
      </c>
      <c r="AI4718">
        <v>0</v>
      </c>
      <c r="AJ4718">
        <v>0</v>
      </c>
      <c r="AK4718">
        <v>100</v>
      </c>
      <c r="AL4718">
        <v>0</v>
      </c>
      <c r="AM4718">
        <v>0</v>
      </c>
      <c r="AN4718">
        <v>0</v>
      </c>
      <c r="AO4718">
        <v>0</v>
      </c>
      <c r="AP4718">
        <v>70</v>
      </c>
      <c r="AT4718" t="str">
        <f t="shared" si="632"/>
        <v>9791197098475</v>
      </c>
      <c r="AV4718" t="str">
        <f t="shared" si="633"/>
        <v>판타지 웹소설 &gt; 퓨전 판타지</v>
      </c>
    </row>
    <row r="4719" spans="1:48" x14ac:dyDescent="0.4">
      <c r="A4719">
        <v>2313009409</v>
      </c>
      <c r="B4719">
        <v>2313009409</v>
      </c>
      <c r="C4719" t="str">
        <f>T("[e북]말빨 1권")</f>
        <v>[e북]말빨 1권</v>
      </c>
      <c r="D4719" t="str">
        <f>T("1")</f>
        <v>1</v>
      </c>
      <c r="E4719" t="str">
        <f>T("이동열")</f>
        <v>이동열</v>
      </c>
      <c r="H4719" t="str">
        <f t="shared" si="634"/>
        <v>스토리위즈</v>
      </c>
      <c r="I4719" t="str">
        <f>T("[e북]말빨")</f>
        <v>[e북]말빨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R4719" t="str">
        <f>T("0000000000000")</f>
        <v>0000000000000</v>
      </c>
      <c r="AT4719" t="str">
        <f>T("9791165311759")</f>
        <v>9791165311759</v>
      </c>
      <c r="AV4719" t="str">
        <f>T("판타지 e북 &gt; 게임 판타지")</f>
        <v>판타지 e북 &gt; 게임 판타지</v>
      </c>
    </row>
    <row r="4720" spans="1:48" x14ac:dyDescent="0.4">
      <c r="A4720">
        <v>2313009418</v>
      </c>
      <c r="B4720">
        <v>2313009418</v>
      </c>
      <c r="C4720" t="str">
        <f>T("은천검제(2부 화산검제) 1화")</f>
        <v>은천검제(2부 화산검제) 1화</v>
      </c>
      <c r="D4720" t="str">
        <f>T("1")</f>
        <v>1</v>
      </c>
      <c r="E4720" t="str">
        <f t="shared" ref="E4720:E4741" si="635">T("무장")</f>
        <v>무장</v>
      </c>
      <c r="H4720" t="str">
        <f t="shared" si="634"/>
        <v>스토리위즈</v>
      </c>
      <c r="I4720" t="str">
        <f t="shared" ref="I4720:I4741" si="636">T("은천검제(2부 화산검제)")</f>
        <v>은천검제(2부 화산검제)</v>
      </c>
      <c r="J4720">
        <v>0</v>
      </c>
      <c r="K4720">
        <v>0</v>
      </c>
      <c r="L4720">
        <v>0</v>
      </c>
      <c r="M4720">
        <v>7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7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T4720" t="str">
        <f>T("9791166067464")</f>
        <v>9791166067464</v>
      </c>
      <c r="AV4720" t="str">
        <f t="shared" ref="AV4720:AV4741" si="637">T("판타지 웹소설 &gt; 무협 소설")</f>
        <v>판타지 웹소설 &gt; 무협 소설</v>
      </c>
    </row>
    <row r="4721" spans="1:48" x14ac:dyDescent="0.4">
      <c r="A4721">
        <v>2313009418</v>
      </c>
      <c r="B4721">
        <v>2313009419</v>
      </c>
      <c r="C4721" t="str">
        <f>T("은천검제(2부 화산검제) 2화")</f>
        <v>은천검제(2부 화산검제) 2화</v>
      </c>
      <c r="D4721" t="str">
        <f>T("2")</f>
        <v>2</v>
      </c>
      <c r="E4721" t="str">
        <f t="shared" si="635"/>
        <v>무장</v>
      </c>
      <c r="H4721" t="str">
        <f t="shared" si="634"/>
        <v>스토리위즈</v>
      </c>
      <c r="I4721" t="str">
        <f t="shared" si="636"/>
        <v>은천검제(2부 화산검제)</v>
      </c>
      <c r="J4721">
        <v>0</v>
      </c>
      <c r="K4721">
        <v>0</v>
      </c>
      <c r="L4721">
        <v>0</v>
      </c>
      <c r="M4721">
        <v>5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5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T4721" t="str">
        <f>T("9791166067464")</f>
        <v>9791166067464</v>
      </c>
      <c r="AV4721" t="str">
        <f t="shared" si="637"/>
        <v>판타지 웹소설 &gt; 무협 소설</v>
      </c>
    </row>
    <row r="4722" spans="1:48" x14ac:dyDescent="0.4">
      <c r="A4722">
        <v>2313009418</v>
      </c>
      <c r="B4722">
        <v>2313009420</v>
      </c>
      <c r="C4722" t="str">
        <f>T("은천검제(2부 화산검제) 3화")</f>
        <v>은천검제(2부 화산검제) 3화</v>
      </c>
      <c r="D4722" t="str">
        <f>T("3")</f>
        <v>3</v>
      </c>
      <c r="E4722" t="str">
        <f t="shared" si="635"/>
        <v>무장</v>
      </c>
      <c r="H4722" t="str">
        <f t="shared" si="634"/>
        <v>스토리위즈</v>
      </c>
      <c r="I4722" t="str">
        <f t="shared" si="636"/>
        <v>은천검제(2부 화산검제)</v>
      </c>
      <c r="J4722">
        <v>0</v>
      </c>
      <c r="K4722">
        <v>0</v>
      </c>
      <c r="L4722">
        <v>0</v>
      </c>
      <c r="M4722">
        <v>4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4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T4722" t="str">
        <f>T("9791166067464")</f>
        <v>9791166067464</v>
      </c>
      <c r="AV4722" t="str">
        <f t="shared" si="637"/>
        <v>판타지 웹소설 &gt; 무협 소설</v>
      </c>
    </row>
    <row r="4723" spans="1:48" x14ac:dyDescent="0.4">
      <c r="A4723">
        <v>2313009418</v>
      </c>
      <c r="B4723">
        <v>2313009421</v>
      </c>
      <c r="C4723" t="str">
        <f>T("은천검제(2부 화산검제) 4화")</f>
        <v>은천검제(2부 화산검제) 4화</v>
      </c>
      <c r="D4723" t="str">
        <f>T("4")</f>
        <v>4</v>
      </c>
      <c r="E4723" t="str">
        <f t="shared" si="635"/>
        <v>무장</v>
      </c>
      <c r="H4723" t="str">
        <f t="shared" si="634"/>
        <v>스토리위즈</v>
      </c>
      <c r="I4723" t="str">
        <f t="shared" si="636"/>
        <v>은천검제(2부 화산검제)</v>
      </c>
      <c r="J4723">
        <v>0</v>
      </c>
      <c r="K4723">
        <v>0</v>
      </c>
      <c r="L4723">
        <v>0</v>
      </c>
      <c r="M4723">
        <v>4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4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V4723" t="str">
        <f t="shared" si="637"/>
        <v>판타지 웹소설 &gt; 무협 소설</v>
      </c>
    </row>
    <row r="4724" spans="1:48" x14ac:dyDescent="0.4">
      <c r="A4724">
        <v>2313009418</v>
      </c>
      <c r="B4724">
        <v>2313009422</v>
      </c>
      <c r="C4724" t="str">
        <f>T("은천검제(2부 화산검제) 5화")</f>
        <v>은천검제(2부 화산검제) 5화</v>
      </c>
      <c r="D4724" t="str">
        <f>T("5")</f>
        <v>5</v>
      </c>
      <c r="E4724" t="str">
        <f t="shared" si="635"/>
        <v>무장</v>
      </c>
      <c r="H4724" t="str">
        <f t="shared" si="634"/>
        <v>스토리위즈</v>
      </c>
      <c r="I4724" t="str">
        <f t="shared" si="636"/>
        <v>은천검제(2부 화산검제)</v>
      </c>
      <c r="J4724">
        <v>0</v>
      </c>
      <c r="K4724">
        <v>0</v>
      </c>
      <c r="L4724">
        <v>0</v>
      </c>
      <c r="M4724">
        <v>4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4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V4724" t="str">
        <f t="shared" si="637"/>
        <v>판타지 웹소설 &gt; 무협 소설</v>
      </c>
    </row>
    <row r="4725" spans="1:48" x14ac:dyDescent="0.4">
      <c r="A4725">
        <v>2313009418</v>
      </c>
      <c r="B4725">
        <v>2313009423</v>
      </c>
      <c r="C4725" t="str">
        <f>T("은천검제(2부 화산검제) 6화")</f>
        <v>은천검제(2부 화산검제) 6화</v>
      </c>
      <c r="D4725" t="str">
        <f>T("6")</f>
        <v>6</v>
      </c>
      <c r="E4725" t="str">
        <f t="shared" si="635"/>
        <v>무장</v>
      </c>
      <c r="H4725" t="str">
        <f t="shared" si="634"/>
        <v>스토리위즈</v>
      </c>
      <c r="I4725" t="str">
        <f t="shared" si="636"/>
        <v>은천검제(2부 화산검제)</v>
      </c>
      <c r="J4725">
        <v>0</v>
      </c>
      <c r="K4725">
        <v>0</v>
      </c>
      <c r="L4725">
        <v>0</v>
      </c>
      <c r="M4725">
        <v>4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4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V4725" t="str">
        <f t="shared" si="637"/>
        <v>판타지 웹소설 &gt; 무협 소설</v>
      </c>
    </row>
    <row r="4726" spans="1:48" x14ac:dyDescent="0.4">
      <c r="A4726">
        <v>2313009418</v>
      </c>
      <c r="B4726">
        <v>2313009424</v>
      </c>
      <c r="C4726" t="str">
        <f>T("은천검제(2부 화산검제) 7화")</f>
        <v>은천검제(2부 화산검제) 7화</v>
      </c>
      <c r="D4726" t="str">
        <f>T("7")</f>
        <v>7</v>
      </c>
      <c r="E4726" t="str">
        <f t="shared" si="635"/>
        <v>무장</v>
      </c>
      <c r="H4726" t="str">
        <f t="shared" si="634"/>
        <v>스토리위즈</v>
      </c>
      <c r="I4726" t="str">
        <f t="shared" si="636"/>
        <v>은천검제(2부 화산검제)</v>
      </c>
      <c r="J4726">
        <v>0</v>
      </c>
      <c r="K4726">
        <v>0</v>
      </c>
      <c r="L4726">
        <v>0</v>
      </c>
      <c r="M4726">
        <v>3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3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V4726" t="str">
        <f t="shared" si="637"/>
        <v>판타지 웹소설 &gt; 무협 소설</v>
      </c>
    </row>
    <row r="4727" spans="1:48" x14ac:dyDescent="0.4">
      <c r="A4727">
        <v>2313009418</v>
      </c>
      <c r="B4727">
        <v>2313009425</v>
      </c>
      <c r="C4727" t="str">
        <f>T("은천검제(2부 화산검제) 8화")</f>
        <v>은천검제(2부 화산검제) 8화</v>
      </c>
      <c r="D4727" t="str">
        <f>T("8")</f>
        <v>8</v>
      </c>
      <c r="E4727" t="str">
        <f t="shared" si="635"/>
        <v>무장</v>
      </c>
      <c r="H4727" t="str">
        <f t="shared" si="634"/>
        <v>스토리위즈</v>
      </c>
      <c r="I4727" t="str">
        <f t="shared" si="636"/>
        <v>은천검제(2부 화산검제)</v>
      </c>
      <c r="J4727">
        <v>0</v>
      </c>
      <c r="K4727">
        <v>0</v>
      </c>
      <c r="L4727">
        <v>0</v>
      </c>
      <c r="M4727">
        <v>3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3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V4727" t="str">
        <f t="shared" si="637"/>
        <v>판타지 웹소설 &gt; 무협 소설</v>
      </c>
    </row>
    <row r="4728" spans="1:48" x14ac:dyDescent="0.4">
      <c r="A4728">
        <v>2313009418</v>
      </c>
      <c r="B4728">
        <v>2313009426</v>
      </c>
      <c r="C4728" t="str">
        <f>T("은천검제(2부 화산검제) 9화")</f>
        <v>은천검제(2부 화산검제) 9화</v>
      </c>
      <c r="D4728" t="str">
        <f>T("9")</f>
        <v>9</v>
      </c>
      <c r="E4728" t="str">
        <f t="shared" si="635"/>
        <v>무장</v>
      </c>
      <c r="H4728" t="str">
        <f t="shared" si="634"/>
        <v>스토리위즈</v>
      </c>
      <c r="I4728" t="str">
        <f t="shared" si="636"/>
        <v>은천검제(2부 화산검제)</v>
      </c>
      <c r="J4728">
        <v>0</v>
      </c>
      <c r="K4728">
        <v>0</v>
      </c>
      <c r="L4728">
        <v>0</v>
      </c>
      <c r="M4728">
        <v>3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3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V4728" t="str">
        <f t="shared" si="637"/>
        <v>판타지 웹소설 &gt; 무협 소설</v>
      </c>
    </row>
    <row r="4729" spans="1:48" x14ac:dyDescent="0.4">
      <c r="A4729">
        <v>2313009418</v>
      </c>
      <c r="B4729">
        <v>2313009427</v>
      </c>
      <c r="C4729" t="str">
        <f>T("은천검제(2부 화산검제) 10화")</f>
        <v>은천검제(2부 화산검제) 10화</v>
      </c>
      <c r="D4729" t="str">
        <f>T("10")</f>
        <v>10</v>
      </c>
      <c r="E4729" t="str">
        <f t="shared" si="635"/>
        <v>무장</v>
      </c>
      <c r="H4729" t="str">
        <f t="shared" si="634"/>
        <v>스토리위즈</v>
      </c>
      <c r="I4729" t="str">
        <f t="shared" si="636"/>
        <v>은천검제(2부 화산검제)</v>
      </c>
      <c r="J4729">
        <v>0</v>
      </c>
      <c r="K4729">
        <v>0</v>
      </c>
      <c r="L4729">
        <v>0</v>
      </c>
      <c r="M4729">
        <v>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2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V4729" t="str">
        <f t="shared" si="637"/>
        <v>판타지 웹소설 &gt; 무협 소설</v>
      </c>
    </row>
    <row r="4730" spans="1:48" x14ac:dyDescent="0.4">
      <c r="A4730">
        <v>2313009418</v>
      </c>
      <c r="B4730">
        <v>2313009428</v>
      </c>
      <c r="C4730" t="str">
        <f>T("은천검제(2부 화산검제) 11화")</f>
        <v>은천검제(2부 화산검제) 11화</v>
      </c>
      <c r="D4730" t="str">
        <f>T("11")</f>
        <v>11</v>
      </c>
      <c r="E4730" t="str">
        <f t="shared" si="635"/>
        <v>무장</v>
      </c>
      <c r="H4730" t="str">
        <f t="shared" si="634"/>
        <v>스토리위즈</v>
      </c>
      <c r="I4730" t="str">
        <f t="shared" si="636"/>
        <v>은천검제(2부 화산검제)</v>
      </c>
      <c r="J4730">
        <v>0</v>
      </c>
      <c r="K4730">
        <v>0</v>
      </c>
      <c r="L4730">
        <v>0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2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V4730" t="str">
        <f t="shared" si="637"/>
        <v>판타지 웹소설 &gt; 무협 소설</v>
      </c>
    </row>
    <row r="4731" spans="1:48" x14ac:dyDescent="0.4">
      <c r="A4731">
        <v>2313009418</v>
      </c>
      <c r="B4731">
        <v>2313009429</v>
      </c>
      <c r="C4731" t="str">
        <f>T("은천검제(2부 화산검제) 12화")</f>
        <v>은천검제(2부 화산검제) 12화</v>
      </c>
      <c r="D4731" t="str">
        <f>T("12")</f>
        <v>12</v>
      </c>
      <c r="E4731" t="str">
        <f t="shared" si="635"/>
        <v>무장</v>
      </c>
      <c r="H4731" t="str">
        <f t="shared" si="634"/>
        <v>스토리위즈</v>
      </c>
      <c r="I4731" t="str">
        <f t="shared" si="636"/>
        <v>은천검제(2부 화산검제)</v>
      </c>
      <c r="J4731">
        <v>0</v>
      </c>
      <c r="K4731">
        <v>0</v>
      </c>
      <c r="L4731">
        <v>0</v>
      </c>
      <c r="M4731">
        <v>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2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V4731" t="str">
        <f t="shared" si="637"/>
        <v>판타지 웹소설 &gt; 무협 소설</v>
      </c>
    </row>
    <row r="4732" spans="1:48" x14ac:dyDescent="0.4">
      <c r="A4732">
        <v>2313009418</v>
      </c>
      <c r="B4732">
        <v>2313009430</v>
      </c>
      <c r="C4732" t="str">
        <f>T("은천검제(2부 화산검제) 13화")</f>
        <v>은천검제(2부 화산검제) 13화</v>
      </c>
      <c r="D4732" t="str">
        <f>T("13")</f>
        <v>13</v>
      </c>
      <c r="E4732" t="str">
        <f t="shared" si="635"/>
        <v>무장</v>
      </c>
      <c r="H4732" t="str">
        <f t="shared" si="634"/>
        <v>스토리위즈</v>
      </c>
      <c r="I4732" t="str">
        <f t="shared" si="636"/>
        <v>은천검제(2부 화산검제)</v>
      </c>
      <c r="J4732">
        <v>0</v>
      </c>
      <c r="K4732">
        <v>0</v>
      </c>
      <c r="L4732">
        <v>0</v>
      </c>
      <c r="M4732">
        <v>3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3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V4732" t="str">
        <f t="shared" si="637"/>
        <v>판타지 웹소설 &gt; 무협 소설</v>
      </c>
    </row>
    <row r="4733" spans="1:48" x14ac:dyDescent="0.4">
      <c r="A4733">
        <v>2313009418</v>
      </c>
      <c r="B4733">
        <v>2313009431</v>
      </c>
      <c r="C4733" t="str">
        <f>T("은천검제(2부 화산검제) 14화")</f>
        <v>은천검제(2부 화산검제) 14화</v>
      </c>
      <c r="D4733" t="str">
        <f>T("14")</f>
        <v>14</v>
      </c>
      <c r="E4733" t="str">
        <f t="shared" si="635"/>
        <v>무장</v>
      </c>
      <c r="H4733" t="str">
        <f t="shared" si="634"/>
        <v>스토리위즈</v>
      </c>
      <c r="I4733" t="str">
        <f t="shared" si="636"/>
        <v>은천검제(2부 화산검제)</v>
      </c>
      <c r="J4733">
        <v>0</v>
      </c>
      <c r="K4733">
        <v>0</v>
      </c>
      <c r="L4733">
        <v>0</v>
      </c>
      <c r="M4733">
        <v>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2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V4733" t="str">
        <f t="shared" si="637"/>
        <v>판타지 웹소설 &gt; 무협 소설</v>
      </c>
    </row>
    <row r="4734" spans="1:48" x14ac:dyDescent="0.4">
      <c r="A4734">
        <v>2313009418</v>
      </c>
      <c r="B4734">
        <v>2313009432</v>
      </c>
      <c r="C4734" t="str">
        <f>T("은천검제(2부 화산검제) 15화")</f>
        <v>은천검제(2부 화산검제) 15화</v>
      </c>
      <c r="D4734" t="str">
        <f>T("15")</f>
        <v>15</v>
      </c>
      <c r="E4734" t="str">
        <f t="shared" si="635"/>
        <v>무장</v>
      </c>
      <c r="H4734" t="str">
        <f t="shared" si="634"/>
        <v>스토리위즈</v>
      </c>
      <c r="I4734" t="str">
        <f t="shared" si="636"/>
        <v>은천검제(2부 화산검제)</v>
      </c>
      <c r="J4734">
        <v>0</v>
      </c>
      <c r="K4734">
        <v>0</v>
      </c>
      <c r="L4734">
        <v>0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2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V4734" t="str">
        <f t="shared" si="637"/>
        <v>판타지 웹소설 &gt; 무협 소설</v>
      </c>
    </row>
    <row r="4735" spans="1:48" x14ac:dyDescent="0.4">
      <c r="A4735">
        <v>2313009418</v>
      </c>
      <c r="B4735">
        <v>2313009433</v>
      </c>
      <c r="C4735" t="str">
        <f>T("은천검제(2부 화산검제) 16화")</f>
        <v>은천검제(2부 화산검제) 16화</v>
      </c>
      <c r="D4735" t="str">
        <f>T("16")</f>
        <v>16</v>
      </c>
      <c r="E4735" t="str">
        <f t="shared" si="635"/>
        <v>무장</v>
      </c>
      <c r="H4735" t="str">
        <f t="shared" si="634"/>
        <v>스토리위즈</v>
      </c>
      <c r="I4735" t="str">
        <f t="shared" si="636"/>
        <v>은천검제(2부 화산검제)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2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V4735" t="str">
        <f t="shared" si="637"/>
        <v>판타지 웹소설 &gt; 무협 소설</v>
      </c>
    </row>
    <row r="4736" spans="1:48" x14ac:dyDescent="0.4">
      <c r="A4736">
        <v>2313009418</v>
      </c>
      <c r="B4736">
        <v>2313009434</v>
      </c>
      <c r="C4736" t="str">
        <f>T("은천검제(2부 화산검제) 17화")</f>
        <v>은천검제(2부 화산검제) 17화</v>
      </c>
      <c r="D4736" t="str">
        <f>T("17")</f>
        <v>17</v>
      </c>
      <c r="E4736" t="str">
        <f t="shared" si="635"/>
        <v>무장</v>
      </c>
      <c r="H4736" t="str">
        <f t="shared" si="634"/>
        <v>스토리위즈</v>
      </c>
      <c r="I4736" t="str">
        <f t="shared" si="636"/>
        <v>은천검제(2부 화산검제)</v>
      </c>
      <c r="J4736">
        <v>0</v>
      </c>
      <c r="K4736">
        <v>0</v>
      </c>
      <c r="L4736">
        <v>0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2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V4736" t="str">
        <f t="shared" si="637"/>
        <v>판타지 웹소설 &gt; 무협 소설</v>
      </c>
    </row>
    <row r="4737" spans="1:48" x14ac:dyDescent="0.4">
      <c r="A4737">
        <v>2313009418</v>
      </c>
      <c r="B4737">
        <v>2313009435</v>
      </c>
      <c r="C4737" t="str">
        <f>T("은천검제(2부 화산검제) 18화")</f>
        <v>은천검제(2부 화산검제) 18화</v>
      </c>
      <c r="D4737" t="str">
        <f>T("18")</f>
        <v>18</v>
      </c>
      <c r="E4737" t="str">
        <f t="shared" si="635"/>
        <v>무장</v>
      </c>
      <c r="H4737" t="str">
        <f t="shared" si="634"/>
        <v>스토리위즈</v>
      </c>
      <c r="I4737" t="str">
        <f t="shared" si="636"/>
        <v>은천검제(2부 화산검제)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2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V4737" t="str">
        <f t="shared" si="637"/>
        <v>판타지 웹소설 &gt; 무협 소설</v>
      </c>
    </row>
    <row r="4738" spans="1:48" x14ac:dyDescent="0.4">
      <c r="A4738">
        <v>2313009418</v>
      </c>
      <c r="B4738">
        <v>2313009436</v>
      </c>
      <c r="C4738" t="str">
        <f>T("은천검제(2부 화산검제) 19화")</f>
        <v>은천검제(2부 화산검제) 19화</v>
      </c>
      <c r="D4738" t="str">
        <f>T("19")</f>
        <v>19</v>
      </c>
      <c r="E4738" t="str">
        <f t="shared" si="635"/>
        <v>무장</v>
      </c>
      <c r="H4738" t="str">
        <f t="shared" si="634"/>
        <v>스토리위즈</v>
      </c>
      <c r="I4738" t="str">
        <f t="shared" si="636"/>
        <v>은천검제(2부 화산검제)</v>
      </c>
      <c r="J4738">
        <v>0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2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V4738" t="str">
        <f t="shared" si="637"/>
        <v>판타지 웹소설 &gt; 무협 소설</v>
      </c>
    </row>
    <row r="4739" spans="1:48" x14ac:dyDescent="0.4">
      <c r="A4739">
        <v>2313009418</v>
      </c>
      <c r="B4739">
        <v>2313009437</v>
      </c>
      <c r="C4739" t="str">
        <f>T("은천검제(2부 화산검제) 20화")</f>
        <v>은천검제(2부 화산검제) 20화</v>
      </c>
      <c r="D4739" t="str">
        <f>T("20")</f>
        <v>20</v>
      </c>
      <c r="E4739" t="str">
        <f t="shared" si="635"/>
        <v>무장</v>
      </c>
      <c r="H4739" t="str">
        <f t="shared" si="634"/>
        <v>스토리위즈</v>
      </c>
      <c r="I4739" t="str">
        <f t="shared" si="636"/>
        <v>은천검제(2부 화산검제)</v>
      </c>
      <c r="J4739">
        <v>0</v>
      </c>
      <c r="K4739">
        <v>0</v>
      </c>
      <c r="L4739">
        <v>0</v>
      </c>
      <c r="M4739">
        <v>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2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V4739" t="str">
        <f t="shared" si="637"/>
        <v>판타지 웹소설 &gt; 무협 소설</v>
      </c>
    </row>
    <row r="4740" spans="1:48" x14ac:dyDescent="0.4">
      <c r="A4740">
        <v>2313009418</v>
      </c>
      <c r="B4740">
        <v>2313009438</v>
      </c>
      <c r="C4740" t="str">
        <f>T("은천검제(2부 화산검제) 21화")</f>
        <v>은천검제(2부 화산검제) 21화</v>
      </c>
      <c r="D4740" t="str">
        <f>T("21")</f>
        <v>21</v>
      </c>
      <c r="E4740" t="str">
        <f t="shared" si="635"/>
        <v>무장</v>
      </c>
      <c r="H4740" t="str">
        <f t="shared" si="634"/>
        <v>스토리위즈</v>
      </c>
      <c r="I4740" t="str">
        <f t="shared" si="636"/>
        <v>은천검제(2부 화산검제)</v>
      </c>
      <c r="J4740">
        <v>0</v>
      </c>
      <c r="K4740">
        <v>0</v>
      </c>
      <c r="L4740">
        <v>0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2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V4740" t="str">
        <f t="shared" si="637"/>
        <v>판타지 웹소설 &gt; 무협 소설</v>
      </c>
    </row>
    <row r="4741" spans="1:48" x14ac:dyDescent="0.4">
      <c r="A4741">
        <v>2313009418</v>
      </c>
      <c r="B4741">
        <v>2313009439</v>
      </c>
      <c r="C4741" t="str">
        <f>T("은천검제(2부 화산검제) 22화")</f>
        <v>은천검제(2부 화산검제) 22화</v>
      </c>
      <c r="D4741" t="str">
        <f>T("22")</f>
        <v>22</v>
      </c>
      <c r="E4741" t="str">
        <f t="shared" si="635"/>
        <v>무장</v>
      </c>
      <c r="H4741" t="str">
        <f t="shared" si="634"/>
        <v>스토리위즈</v>
      </c>
      <c r="I4741" t="str">
        <f t="shared" si="636"/>
        <v>은천검제(2부 화산검제)</v>
      </c>
      <c r="J4741">
        <v>0</v>
      </c>
      <c r="K4741">
        <v>0</v>
      </c>
      <c r="L4741">
        <v>0</v>
      </c>
      <c r="M4741">
        <v>3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3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V4741" t="str">
        <f t="shared" si="637"/>
        <v>판타지 웹소설 &gt; 무협 소설</v>
      </c>
    </row>
    <row r="4742" spans="1:48" x14ac:dyDescent="0.4">
      <c r="A4742">
        <v>2313009742</v>
      </c>
      <c r="B4742">
        <v>2313009742</v>
      </c>
      <c r="C4742" t="str">
        <f>T("[e북]검산도해 1권")</f>
        <v>[e북]검산도해 1권</v>
      </c>
      <c r="D4742" t="str">
        <f>T("1")</f>
        <v>1</v>
      </c>
      <c r="E4742" t="str">
        <f>T("권용찬")</f>
        <v>권용찬</v>
      </c>
      <c r="H4742" t="str">
        <f t="shared" si="634"/>
        <v>스토리위즈</v>
      </c>
      <c r="I4742" t="str">
        <f>T("[e북]검산도해")</f>
        <v>[e북]검산도해</v>
      </c>
      <c r="J4742">
        <v>0</v>
      </c>
      <c r="K4742">
        <v>0</v>
      </c>
      <c r="L4742">
        <v>0</v>
      </c>
      <c r="M4742">
        <v>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2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R4742" t="str">
        <f>T("0000000000000")</f>
        <v>0000000000000</v>
      </c>
      <c r="AT4742" t="str">
        <f>T("9791197098406")</f>
        <v>9791197098406</v>
      </c>
      <c r="AV4742" t="str">
        <f>T("판타지 e북 &gt; 신무협")</f>
        <v>판타지 e북 &gt; 신무협</v>
      </c>
    </row>
    <row r="4743" spans="1:48" x14ac:dyDescent="0.4">
      <c r="A4743">
        <v>2313009749</v>
      </c>
      <c r="B4743">
        <v>2313009749</v>
      </c>
      <c r="C4743" t="str">
        <f>T("리얼 머니 1화")</f>
        <v>리얼 머니 1화</v>
      </c>
      <c r="D4743" t="str">
        <f>T("1")</f>
        <v>1</v>
      </c>
      <c r="E4743" t="str">
        <f t="shared" ref="E4743:E4751" si="638">T("진문")</f>
        <v>진문</v>
      </c>
      <c r="H4743" t="str">
        <f t="shared" si="634"/>
        <v>스토리위즈</v>
      </c>
      <c r="I4743" t="str">
        <f t="shared" ref="I4743:I4751" si="639">T("리얼 머니")</f>
        <v>리얼 머니</v>
      </c>
      <c r="J4743">
        <v>0</v>
      </c>
      <c r="K4743">
        <v>0</v>
      </c>
      <c r="L4743">
        <v>0</v>
      </c>
      <c r="M4743">
        <v>7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7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T4743" t="str">
        <f t="shared" ref="AT4743:AT4751" si="640">T("9791166068942")</f>
        <v>9791166068942</v>
      </c>
      <c r="AV4743" t="str">
        <f t="shared" ref="AV4743:AV4751" si="641">T("판타지 웹소설 &gt; 현대 판타지")</f>
        <v>판타지 웹소설 &gt; 현대 판타지</v>
      </c>
    </row>
    <row r="4744" spans="1:48" x14ac:dyDescent="0.4">
      <c r="A4744">
        <v>2313009749</v>
      </c>
      <c r="B4744">
        <v>2313009750</v>
      </c>
      <c r="C4744" t="str">
        <f>T("리얼 머니 2화")</f>
        <v>리얼 머니 2화</v>
      </c>
      <c r="D4744" t="str">
        <f>T("2")</f>
        <v>2</v>
      </c>
      <c r="E4744" t="str">
        <f t="shared" si="638"/>
        <v>진문</v>
      </c>
      <c r="H4744" t="str">
        <f t="shared" si="634"/>
        <v>스토리위즈</v>
      </c>
      <c r="I4744" t="str">
        <f t="shared" si="639"/>
        <v>리얼 머니</v>
      </c>
      <c r="J4744">
        <v>0</v>
      </c>
      <c r="K4744">
        <v>0</v>
      </c>
      <c r="L4744">
        <v>0</v>
      </c>
      <c r="M4744">
        <v>5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5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T4744" t="str">
        <f t="shared" si="640"/>
        <v>9791166068942</v>
      </c>
      <c r="AV4744" t="str">
        <f t="shared" si="641"/>
        <v>판타지 웹소설 &gt; 현대 판타지</v>
      </c>
    </row>
    <row r="4745" spans="1:48" x14ac:dyDescent="0.4">
      <c r="A4745">
        <v>2313009749</v>
      </c>
      <c r="B4745">
        <v>2313009751</v>
      </c>
      <c r="C4745" t="str">
        <f>T("리얼 머니 3화")</f>
        <v>리얼 머니 3화</v>
      </c>
      <c r="D4745" t="str">
        <f>T("3")</f>
        <v>3</v>
      </c>
      <c r="E4745" t="str">
        <f t="shared" si="638"/>
        <v>진문</v>
      </c>
      <c r="H4745" t="str">
        <f t="shared" si="634"/>
        <v>스토리위즈</v>
      </c>
      <c r="I4745" t="str">
        <f t="shared" si="639"/>
        <v>리얼 머니</v>
      </c>
      <c r="J4745">
        <v>0</v>
      </c>
      <c r="K4745">
        <v>0</v>
      </c>
      <c r="L4745">
        <v>0</v>
      </c>
      <c r="M4745">
        <v>3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3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T4745" t="str">
        <f t="shared" si="640"/>
        <v>9791166068942</v>
      </c>
      <c r="AV4745" t="str">
        <f t="shared" si="641"/>
        <v>판타지 웹소설 &gt; 현대 판타지</v>
      </c>
    </row>
    <row r="4746" spans="1:48" x14ac:dyDescent="0.4">
      <c r="A4746">
        <v>2313009749</v>
      </c>
      <c r="B4746">
        <v>2313009752</v>
      </c>
      <c r="C4746" t="str">
        <f>T("리얼 머니 4화")</f>
        <v>리얼 머니 4화</v>
      </c>
      <c r="D4746" t="str">
        <f>T("4")</f>
        <v>4</v>
      </c>
      <c r="E4746" t="str">
        <f t="shared" si="638"/>
        <v>진문</v>
      </c>
      <c r="H4746" t="str">
        <f t="shared" si="634"/>
        <v>스토리위즈</v>
      </c>
      <c r="I4746" t="str">
        <f t="shared" si="639"/>
        <v>리얼 머니</v>
      </c>
      <c r="J4746">
        <v>0</v>
      </c>
      <c r="K4746">
        <v>0</v>
      </c>
      <c r="L4746">
        <v>0</v>
      </c>
      <c r="M4746">
        <v>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2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T4746" t="str">
        <f t="shared" si="640"/>
        <v>9791166068942</v>
      </c>
      <c r="AV4746" t="str">
        <f t="shared" si="641"/>
        <v>판타지 웹소설 &gt; 현대 판타지</v>
      </c>
    </row>
    <row r="4747" spans="1:48" x14ac:dyDescent="0.4">
      <c r="A4747">
        <v>2313009749</v>
      </c>
      <c r="B4747">
        <v>2313009753</v>
      </c>
      <c r="C4747" t="str">
        <f>T("리얼 머니 5화")</f>
        <v>리얼 머니 5화</v>
      </c>
      <c r="D4747" t="str">
        <f>T("5")</f>
        <v>5</v>
      </c>
      <c r="E4747" t="str">
        <f t="shared" si="638"/>
        <v>진문</v>
      </c>
      <c r="H4747" t="str">
        <f t="shared" si="634"/>
        <v>스토리위즈</v>
      </c>
      <c r="I4747" t="str">
        <f t="shared" si="639"/>
        <v>리얼 머니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T4747" t="str">
        <f t="shared" si="640"/>
        <v>9791166068942</v>
      </c>
      <c r="AV4747" t="str">
        <f t="shared" si="641"/>
        <v>판타지 웹소설 &gt; 현대 판타지</v>
      </c>
    </row>
    <row r="4748" spans="1:48" x14ac:dyDescent="0.4">
      <c r="A4748">
        <v>2313009749</v>
      </c>
      <c r="B4748">
        <v>2313009754</v>
      </c>
      <c r="C4748" t="str">
        <f>T("리얼 머니 6화")</f>
        <v>리얼 머니 6화</v>
      </c>
      <c r="D4748" t="str">
        <f>T("6")</f>
        <v>6</v>
      </c>
      <c r="E4748" t="str">
        <f t="shared" si="638"/>
        <v>진문</v>
      </c>
      <c r="H4748" t="str">
        <f t="shared" si="634"/>
        <v>스토리위즈</v>
      </c>
      <c r="I4748" t="str">
        <f t="shared" si="639"/>
        <v>리얼 머니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T4748" t="str">
        <f t="shared" si="640"/>
        <v>9791166068942</v>
      </c>
      <c r="AV4748" t="str">
        <f t="shared" si="641"/>
        <v>판타지 웹소설 &gt; 현대 판타지</v>
      </c>
    </row>
    <row r="4749" spans="1:48" x14ac:dyDescent="0.4">
      <c r="A4749">
        <v>2313009749</v>
      </c>
      <c r="B4749">
        <v>2313009755</v>
      </c>
      <c r="C4749" t="str">
        <f>T("리얼 머니 7화")</f>
        <v>리얼 머니 7화</v>
      </c>
      <c r="D4749" t="str">
        <f>T("7")</f>
        <v>7</v>
      </c>
      <c r="E4749" t="str">
        <f t="shared" si="638"/>
        <v>진문</v>
      </c>
      <c r="H4749" t="str">
        <f t="shared" si="634"/>
        <v>스토리위즈</v>
      </c>
      <c r="I4749" t="str">
        <f t="shared" si="639"/>
        <v>리얼 머니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T4749" t="str">
        <f t="shared" si="640"/>
        <v>9791166068942</v>
      </c>
      <c r="AV4749" t="str">
        <f t="shared" si="641"/>
        <v>판타지 웹소설 &gt; 현대 판타지</v>
      </c>
    </row>
    <row r="4750" spans="1:48" x14ac:dyDescent="0.4">
      <c r="A4750">
        <v>2313009749</v>
      </c>
      <c r="B4750">
        <v>2313009759</v>
      </c>
      <c r="C4750" t="str">
        <f>T("리얼 머니 11화")</f>
        <v>리얼 머니 11화</v>
      </c>
      <c r="D4750" t="str">
        <f>T("11")</f>
        <v>11</v>
      </c>
      <c r="E4750" t="str">
        <f t="shared" si="638"/>
        <v>진문</v>
      </c>
      <c r="H4750" t="str">
        <f t="shared" si="634"/>
        <v>스토리위즈</v>
      </c>
      <c r="I4750" t="str">
        <f t="shared" si="639"/>
        <v>리얼 머니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T4750" t="str">
        <f t="shared" si="640"/>
        <v>9791166068942</v>
      </c>
      <c r="AV4750" t="str">
        <f t="shared" si="641"/>
        <v>판타지 웹소설 &gt; 현대 판타지</v>
      </c>
    </row>
    <row r="4751" spans="1:48" x14ac:dyDescent="0.4">
      <c r="A4751">
        <v>2313009749</v>
      </c>
      <c r="B4751">
        <v>2313009760</v>
      </c>
      <c r="C4751" t="str">
        <f>T("리얼 머니 12화")</f>
        <v>리얼 머니 12화</v>
      </c>
      <c r="D4751" t="str">
        <f>T("12")</f>
        <v>12</v>
      </c>
      <c r="E4751" t="str">
        <f t="shared" si="638"/>
        <v>진문</v>
      </c>
      <c r="H4751" t="str">
        <f t="shared" si="634"/>
        <v>스토리위즈</v>
      </c>
      <c r="I4751" t="str">
        <f t="shared" si="639"/>
        <v>리얼 머니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T4751" t="str">
        <f t="shared" si="640"/>
        <v>9791166068942</v>
      </c>
      <c r="AV4751" t="str">
        <f t="shared" si="641"/>
        <v>판타지 웹소설 &gt; 현대 판타지</v>
      </c>
    </row>
    <row r="4752" spans="1:48" x14ac:dyDescent="0.4">
      <c r="A4752">
        <v>2313009971</v>
      </c>
      <c r="B4752">
        <v>2313009971</v>
      </c>
      <c r="C4752" t="str">
        <f>T("[e북]1부 은천검제 1권")</f>
        <v>[e북]1부 은천검제 1권</v>
      </c>
      <c r="D4752" t="str">
        <f>T("1")</f>
        <v>1</v>
      </c>
      <c r="E4752" t="str">
        <f>T("무장")</f>
        <v>무장</v>
      </c>
      <c r="H4752" t="str">
        <f t="shared" si="634"/>
        <v>스토리위즈</v>
      </c>
      <c r="I4752" t="str">
        <f>T("[e북]은천검제(2부 화산검제)")</f>
        <v>[e북]은천검제(2부 화산검제)</v>
      </c>
      <c r="J4752">
        <v>0</v>
      </c>
      <c r="K4752">
        <v>0</v>
      </c>
      <c r="L4752">
        <v>0</v>
      </c>
      <c r="M4752">
        <v>9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9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T4752" t="str">
        <f>T("9791166060175")</f>
        <v>9791166060175</v>
      </c>
      <c r="AV4752" t="str">
        <f>T("판타지 e북 &gt; 신무협")</f>
        <v>판타지 e북 &gt; 신무협</v>
      </c>
    </row>
    <row r="4753" spans="1:48" x14ac:dyDescent="0.4">
      <c r="A4753">
        <v>2313009986</v>
      </c>
      <c r="B4753">
        <v>2313009986</v>
      </c>
      <c r="C4753" t="str">
        <f>T("[e북]리얼 머니 1권")</f>
        <v>[e북]리얼 머니 1권</v>
      </c>
      <c r="D4753" t="str">
        <f>T("1")</f>
        <v>1</v>
      </c>
      <c r="E4753" t="str">
        <f>T("진문")</f>
        <v>진문</v>
      </c>
      <c r="H4753" t="str">
        <f t="shared" si="634"/>
        <v>스토리위즈</v>
      </c>
      <c r="I4753" t="str">
        <f>T("[e북]리얼 머니")</f>
        <v>[e북]리얼 머니</v>
      </c>
      <c r="J4753">
        <v>0</v>
      </c>
      <c r="K4753">
        <v>0</v>
      </c>
      <c r="L4753">
        <v>0</v>
      </c>
      <c r="M4753">
        <v>7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7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T4753" t="str">
        <f>T("9791166068058")</f>
        <v>9791166068058</v>
      </c>
      <c r="AV4753" t="str">
        <f>T("판타지 e북 &gt; 현대 판타지")</f>
        <v>판타지 e북 &gt; 현대 판타지</v>
      </c>
    </row>
    <row r="4754" spans="1:48" x14ac:dyDescent="0.4">
      <c r="A4754">
        <v>2313009995</v>
      </c>
      <c r="B4754">
        <v>2313009995</v>
      </c>
      <c r="C4754" t="str">
        <f>T("[e북]이과생 둘이 회귀했다 1권")</f>
        <v>[e북]이과생 둘이 회귀했다 1권</v>
      </c>
      <c r="D4754" t="str">
        <f>T("1")</f>
        <v>1</v>
      </c>
      <c r="E4754" t="str">
        <f>T("하이후")</f>
        <v>하이후</v>
      </c>
      <c r="H4754" t="str">
        <f t="shared" si="634"/>
        <v>스토리위즈</v>
      </c>
      <c r="I4754" t="str">
        <f>T("[e북]이과생 둘이 회귀했다")</f>
        <v>[e북]이과생 둘이 회귀했다</v>
      </c>
      <c r="J4754">
        <v>0</v>
      </c>
      <c r="K4754">
        <v>0</v>
      </c>
      <c r="L4754">
        <v>0</v>
      </c>
      <c r="M4754">
        <v>85</v>
      </c>
      <c r="N4754">
        <v>0</v>
      </c>
      <c r="O4754">
        <v>0</v>
      </c>
      <c r="P4754">
        <v>39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124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T4754" t="str">
        <f>T("9791166065125")</f>
        <v>9791166065125</v>
      </c>
      <c r="AV4754" t="str">
        <f>T("판타지 e북 &gt; 현대 판타지")</f>
        <v>판타지 e북 &gt; 현대 판타지</v>
      </c>
    </row>
    <row r="4755" spans="1:48" x14ac:dyDescent="0.4">
      <c r="A4755">
        <v>2313010010</v>
      </c>
      <c r="B4755">
        <v>2313010010</v>
      </c>
      <c r="C4755" t="str">
        <f>T("[e북]게임 속 유닛 1권")</f>
        <v>[e북]게임 속 유닛 1권</v>
      </c>
      <c r="D4755" t="str">
        <f>T("1")</f>
        <v>1</v>
      </c>
      <c r="E4755" t="str">
        <f t="shared" ref="E4755:E4770" si="642">T("찬동")</f>
        <v>찬동</v>
      </c>
      <c r="H4755" t="str">
        <f t="shared" si="634"/>
        <v>스토리위즈</v>
      </c>
      <c r="I4755" t="str">
        <f t="shared" ref="I4755:I4770" si="643">T("[e북]게임 속 유닛")</f>
        <v>[e북]게임 속 유닛</v>
      </c>
      <c r="J4755">
        <v>0</v>
      </c>
      <c r="K4755">
        <v>0</v>
      </c>
      <c r="L4755">
        <v>0</v>
      </c>
      <c r="M4755">
        <v>23</v>
      </c>
      <c r="N4755">
        <v>0</v>
      </c>
      <c r="O4755">
        <v>0</v>
      </c>
      <c r="P4755">
        <v>18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41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T4755" t="str">
        <f>T("9791166065279")</f>
        <v>9791166065279</v>
      </c>
      <c r="AV4755" t="str">
        <f t="shared" ref="AV4755:AV4770" si="644">T("판타지 e북 &gt; 퓨전 판타지")</f>
        <v>판타지 e북 &gt; 퓨전 판타지</v>
      </c>
    </row>
    <row r="4756" spans="1:48" x14ac:dyDescent="0.4">
      <c r="A4756">
        <v>2313010010</v>
      </c>
      <c r="B4756">
        <v>2313010011</v>
      </c>
      <c r="C4756" t="str">
        <f>T("[e북]게임 속 유닛 2권")</f>
        <v>[e북]게임 속 유닛 2권</v>
      </c>
      <c r="D4756" t="str">
        <f>T("2")</f>
        <v>2</v>
      </c>
      <c r="E4756" t="str">
        <f t="shared" si="642"/>
        <v>찬동</v>
      </c>
      <c r="H4756" t="str">
        <f t="shared" si="634"/>
        <v>스토리위즈</v>
      </c>
      <c r="I4756" t="str">
        <f t="shared" si="643"/>
        <v>[e북]게임 속 유닛</v>
      </c>
      <c r="J4756">
        <v>3200</v>
      </c>
      <c r="K4756">
        <v>0</v>
      </c>
      <c r="L4756">
        <v>0</v>
      </c>
      <c r="M4756">
        <v>0</v>
      </c>
      <c r="N4756">
        <v>11520</v>
      </c>
      <c r="O4756">
        <v>14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11520</v>
      </c>
      <c r="AH4756">
        <v>14</v>
      </c>
      <c r="AI4756">
        <v>0</v>
      </c>
      <c r="AJ4756">
        <v>0</v>
      </c>
      <c r="AK4756">
        <v>11520</v>
      </c>
      <c r="AL4756">
        <v>0</v>
      </c>
      <c r="AM4756">
        <v>0</v>
      </c>
      <c r="AN4756">
        <v>0</v>
      </c>
      <c r="AO4756">
        <v>0</v>
      </c>
      <c r="AP4756">
        <v>8064</v>
      </c>
      <c r="AT4756" t="str">
        <f>T("9791166065286")</f>
        <v>9791166065286</v>
      </c>
      <c r="AV4756" t="str">
        <f t="shared" si="644"/>
        <v>판타지 e북 &gt; 퓨전 판타지</v>
      </c>
    </row>
    <row r="4757" spans="1:48" x14ac:dyDescent="0.4">
      <c r="A4757">
        <v>2313010010</v>
      </c>
      <c r="B4757">
        <v>2313010012</v>
      </c>
      <c r="C4757" t="str">
        <f>T("[e북]게임 속 유닛 3권")</f>
        <v>[e북]게임 속 유닛 3권</v>
      </c>
      <c r="D4757" t="str">
        <f>T("3")</f>
        <v>3</v>
      </c>
      <c r="E4757" t="str">
        <f t="shared" si="642"/>
        <v>찬동</v>
      </c>
      <c r="H4757" t="str">
        <f t="shared" si="634"/>
        <v>스토리위즈</v>
      </c>
      <c r="I4757" t="str">
        <f t="shared" si="643"/>
        <v>[e북]게임 속 유닛</v>
      </c>
      <c r="J4757">
        <v>3200</v>
      </c>
      <c r="K4757">
        <v>0</v>
      </c>
      <c r="L4757">
        <v>0</v>
      </c>
      <c r="M4757">
        <v>0</v>
      </c>
      <c r="N4757">
        <v>9720</v>
      </c>
      <c r="O4757">
        <v>12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9720</v>
      </c>
      <c r="AH4757">
        <v>12</v>
      </c>
      <c r="AI4757">
        <v>0</v>
      </c>
      <c r="AJ4757">
        <v>0</v>
      </c>
      <c r="AK4757">
        <v>9720</v>
      </c>
      <c r="AL4757">
        <v>0</v>
      </c>
      <c r="AM4757">
        <v>0</v>
      </c>
      <c r="AN4757">
        <v>0</v>
      </c>
      <c r="AO4757">
        <v>0</v>
      </c>
      <c r="AP4757">
        <v>6804</v>
      </c>
      <c r="AT4757" t="str">
        <f>T("9791166065293")</f>
        <v>9791166065293</v>
      </c>
      <c r="AV4757" t="str">
        <f t="shared" si="644"/>
        <v>판타지 e북 &gt; 퓨전 판타지</v>
      </c>
    </row>
    <row r="4758" spans="1:48" x14ac:dyDescent="0.4">
      <c r="A4758">
        <v>2313010010</v>
      </c>
      <c r="B4758">
        <v>2313010013</v>
      </c>
      <c r="C4758" t="str">
        <f>T("[e북]게임 속 유닛 4권")</f>
        <v>[e북]게임 속 유닛 4권</v>
      </c>
      <c r="D4758" t="str">
        <f>T("4")</f>
        <v>4</v>
      </c>
      <c r="E4758" t="str">
        <f t="shared" si="642"/>
        <v>찬동</v>
      </c>
      <c r="H4758" t="str">
        <f t="shared" si="634"/>
        <v>스토리위즈</v>
      </c>
      <c r="I4758" t="str">
        <f t="shared" si="643"/>
        <v>[e북]게임 속 유닛</v>
      </c>
      <c r="J4758">
        <v>3200</v>
      </c>
      <c r="K4758">
        <v>0</v>
      </c>
      <c r="L4758">
        <v>0</v>
      </c>
      <c r="M4758">
        <v>0</v>
      </c>
      <c r="N4758">
        <v>8820</v>
      </c>
      <c r="O4758">
        <v>11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8820</v>
      </c>
      <c r="AH4758">
        <v>11</v>
      </c>
      <c r="AI4758">
        <v>0</v>
      </c>
      <c r="AJ4758">
        <v>0</v>
      </c>
      <c r="AK4758">
        <v>8820</v>
      </c>
      <c r="AL4758">
        <v>0</v>
      </c>
      <c r="AM4758">
        <v>0</v>
      </c>
      <c r="AN4758">
        <v>0</v>
      </c>
      <c r="AO4758">
        <v>0</v>
      </c>
      <c r="AP4758">
        <v>6174</v>
      </c>
      <c r="AT4758" t="str">
        <f>T("9791166065309")</f>
        <v>9791166065309</v>
      </c>
      <c r="AV4758" t="str">
        <f t="shared" si="644"/>
        <v>판타지 e북 &gt; 퓨전 판타지</v>
      </c>
    </row>
    <row r="4759" spans="1:48" x14ac:dyDescent="0.4">
      <c r="A4759">
        <v>2313010010</v>
      </c>
      <c r="B4759">
        <v>2313010014</v>
      </c>
      <c r="C4759" t="str">
        <f>T("[e북]게임 속 유닛 5권")</f>
        <v>[e북]게임 속 유닛 5권</v>
      </c>
      <c r="D4759" t="str">
        <f>T("5")</f>
        <v>5</v>
      </c>
      <c r="E4759" t="str">
        <f t="shared" si="642"/>
        <v>찬동</v>
      </c>
      <c r="H4759" t="str">
        <f t="shared" si="634"/>
        <v>스토리위즈</v>
      </c>
      <c r="I4759" t="str">
        <f t="shared" si="643"/>
        <v>[e북]게임 속 유닛</v>
      </c>
      <c r="J4759">
        <v>3200</v>
      </c>
      <c r="K4759">
        <v>0</v>
      </c>
      <c r="L4759">
        <v>0</v>
      </c>
      <c r="M4759">
        <v>0</v>
      </c>
      <c r="N4759">
        <v>7020</v>
      </c>
      <c r="O4759">
        <v>9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7020</v>
      </c>
      <c r="AH4759">
        <v>9</v>
      </c>
      <c r="AI4759">
        <v>0</v>
      </c>
      <c r="AJ4759">
        <v>0</v>
      </c>
      <c r="AK4759">
        <v>7020</v>
      </c>
      <c r="AL4759">
        <v>0</v>
      </c>
      <c r="AM4759">
        <v>0</v>
      </c>
      <c r="AN4759">
        <v>0</v>
      </c>
      <c r="AO4759">
        <v>0</v>
      </c>
      <c r="AP4759">
        <v>4914</v>
      </c>
      <c r="AT4759" t="str">
        <f>T("9791166065316")</f>
        <v>9791166065316</v>
      </c>
      <c r="AV4759" t="str">
        <f t="shared" si="644"/>
        <v>판타지 e북 &gt; 퓨전 판타지</v>
      </c>
    </row>
    <row r="4760" spans="1:48" x14ac:dyDescent="0.4">
      <c r="A4760">
        <v>2313010010</v>
      </c>
      <c r="B4760">
        <v>2313010015</v>
      </c>
      <c r="C4760" t="str">
        <f>T("[e북]게임 속 유닛 6권")</f>
        <v>[e북]게임 속 유닛 6권</v>
      </c>
      <c r="D4760" t="str">
        <f>T("6")</f>
        <v>6</v>
      </c>
      <c r="E4760" t="str">
        <f t="shared" si="642"/>
        <v>찬동</v>
      </c>
      <c r="H4760" t="str">
        <f t="shared" si="634"/>
        <v>스토리위즈</v>
      </c>
      <c r="I4760" t="str">
        <f t="shared" si="643"/>
        <v>[e북]게임 속 유닛</v>
      </c>
      <c r="J4760">
        <v>3200</v>
      </c>
      <c r="K4760">
        <v>0</v>
      </c>
      <c r="L4760">
        <v>0</v>
      </c>
      <c r="M4760">
        <v>0</v>
      </c>
      <c r="N4760">
        <v>7020</v>
      </c>
      <c r="O4760">
        <v>9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7020</v>
      </c>
      <c r="AH4760">
        <v>9</v>
      </c>
      <c r="AI4760">
        <v>0</v>
      </c>
      <c r="AJ4760">
        <v>0</v>
      </c>
      <c r="AK4760">
        <v>7020</v>
      </c>
      <c r="AL4760">
        <v>0</v>
      </c>
      <c r="AM4760">
        <v>0</v>
      </c>
      <c r="AN4760">
        <v>0</v>
      </c>
      <c r="AO4760">
        <v>0</v>
      </c>
      <c r="AP4760">
        <v>4914</v>
      </c>
      <c r="AT4760" t="str">
        <f>T("9791166065323")</f>
        <v>9791166065323</v>
      </c>
      <c r="AV4760" t="str">
        <f t="shared" si="644"/>
        <v>판타지 e북 &gt; 퓨전 판타지</v>
      </c>
    </row>
    <row r="4761" spans="1:48" x14ac:dyDescent="0.4">
      <c r="A4761">
        <v>2313010010</v>
      </c>
      <c r="B4761">
        <v>2313010016</v>
      </c>
      <c r="C4761" t="str">
        <f>T("[e북]게임 속 유닛 7권")</f>
        <v>[e북]게임 속 유닛 7권</v>
      </c>
      <c r="D4761" t="str">
        <f>T("7")</f>
        <v>7</v>
      </c>
      <c r="E4761" t="str">
        <f t="shared" si="642"/>
        <v>찬동</v>
      </c>
      <c r="H4761" t="str">
        <f t="shared" si="634"/>
        <v>스토리위즈</v>
      </c>
      <c r="I4761" t="str">
        <f t="shared" si="643"/>
        <v>[e북]게임 속 유닛</v>
      </c>
      <c r="J4761">
        <v>3200</v>
      </c>
      <c r="K4761">
        <v>0</v>
      </c>
      <c r="L4761">
        <v>0</v>
      </c>
      <c r="M4761">
        <v>0</v>
      </c>
      <c r="N4761">
        <v>6120</v>
      </c>
      <c r="O4761">
        <v>8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6120</v>
      </c>
      <c r="AH4761">
        <v>8</v>
      </c>
      <c r="AI4761">
        <v>0</v>
      </c>
      <c r="AJ4761">
        <v>0</v>
      </c>
      <c r="AK4761">
        <v>6120</v>
      </c>
      <c r="AL4761">
        <v>0</v>
      </c>
      <c r="AM4761">
        <v>0</v>
      </c>
      <c r="AN4761">
        <v>0</v>
      </c>
      <c r="AO4761">
        <v>0</v>
      </c>
      <c r="AP4761">
        <v>4284</v>
      </c>
      <c r="AT4761" t="str">
        <f>T("9791166065330")</f>
        <v>9791166065330</v>
      </c>
      <c r="AV4761" t="str">
        <f t="shared" si="644"/>
        <v>판타지 e북 &gt; 퓨전 판타지</v>
      </c>
    </row>
    <row r="4762" spans="1:48" x14ac:dyDescent="0.4">
      <c r="A4762">
        <v>2313010010</v>
      </c>
      <c r="B4762">
        <v>2313010017</v>
      </c>
      <c r="C4762" t="str">
        <f>T("[e북]게임 속 유닛 8권")</f>
        <v>[e북]게임 속 유닛 8권</v>
      </c>
      <c r="D4762" t="str">
        <f>T("8")</f>
        <v>8</v>
      </c>
      <c r="E4762" t="str">
        <f t="shared" si="642"/>
        <v>찬동</v>
      </c>
      <c r="H4762" t="str">
        <f t="shared" si="634"/>
        <v>스토리위즈</v>
      </c>
      <c r="I4762" t="str">
        <f t="shared" si="643"/>
        <v>[e북]게임 속 유닛</v>
      </c>
      <c r="J4762">
        <v>3200</v>
      </c>
      <c r="K4762">
        <v>0</v>
      </c>
      <c r="L4762">
        <v>0</v>
      </c>
      <c r="M4762">
        <v>0</v>
      </c>
      <c r="N4762">
        <v>5220</v>
      </c>
      <c r="O4762">
        <v>7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5220</v>
      </c>
      <c r="AH4762">
        <v>7</v>
      </c>
      <c r="AI4762">
        <v>0</v>
      </c>
      <c r="AJ4762">
        <v>0</v>
      </c>
      <c r="AK4762">
        <v>5220</v>
      </c>
      <c r="AL4762">
        <v>0</v>
      </c>
      <c r="AM4762">
        <v>0</v>
      </c>
      <c r="AN4762">
        <v>0</v>
      </c>
      <c r="AO4762">
        <v>0</v>
      </c>
      <c r="AP4762">
        <v>3654</v>
      </c>
      <c r="AT4762" t="str">
        <f>T("9791166065347")</f>
        <v>9791166065347</v>
      </c>
      <c r="AV4762" t="str">
        <f t="shared" si="644"/>
        <v>판타지 e북 &gt; 퓨전 판타지</v>
      </c>
    </row>
    <row r="4763" spans="1:48" x14ac:dyDescent="0.4">
      <c r="A4763">
        <v>2313010010</v>
      </c>
      <c r="B4763">
        <v>2313010018</v>
      </c>
      <c r="C4763" t="str">
        <f>T("[e북]게임 속 유닛 9권")</f>
        <v>[e북]게임 속 유닛 9권</v>
      </c>
      <c r="D4763" t="str">
        <f>T("9")</f>
        <v>9</v>
      </c>
      <c r="E4763" t="str">
        <f t="shared" si="642"/>
        <v>찬동</v>
      </c>
      <c r="H4763" t="str">
        <f t="shared" si="634"/>
        <v>스토리위즈</v>
      </c>
      <c r="I4763" t="str">
        <f t="shared" si="643"/>
        <v>[e북]게임 속 유닛</v>
      </c>
      <c r="J4763">
        <v>3200</v>
      </c>
      <c r="K4763">
        <v>0</v>
      </c>
      <c r="L4763">
        <v>0</v>
      </c>
      <c r="M4763">
        <v>0</v>
      </c>
      <c r="N4763">
        <v>4320</v>
      </c>
      <c r="O4763">
        <v>6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4320</v>
      </c>
      <c r="AH4763">
        <v>6</v>
      </c>
      <c r="AI4763">
        <v>0</v>
      </c>
      <c r="AJ4763">
        <v>0</v>
      </c>
      <c r="AK4763">
        <v>4320</v>
      </c>
      <c r="AL4763">
        <v>0</v>
      </c>
      <c r="AM4763">
        <v>0</v>
      </c>
      <c r="AN4763">
        <v>0</v>
      </c>
      <c r="AO4763">
        <v>0</v>
      </c>
      <c r="AP4763">
        <v>3024</v>
      </c>
      <c r="AT4763" t="str">
        <f>T("9791166065354")</f>
        <v>9791166065354</v>
      </c>
      <c r="AV4763" t="str">
        <f t="shared" si="644"/>
        <v>판타지 e북 &gt; 퓨전 판타지</v>
      </c>
    </row>
    <row r="4764" spans="1:48" x14ac:dyDescent="0.4">
      <c r="A4764">
        <v>2313010010</v>
      </c>
      <c r="B4764">
        <v>2313010019</v>
      </c>
      <c r="C4764" t="str">
        <f>T("[e북]게임 속 유닛 10권")</f>
        <v>[e북]게임 속 유닛 10권</v>
      </c>
      <c r="D4764" t="str">
        <f>T("10")</f>
        <v>10</v>
      </c>
      <c r="E4764" t="str">
        <f t="shared" si="642"/>
        <v>찬동</v>
      </c>
      <c r="H4764" t="str">
        <f t="shared" si="634"/>
        <v>스토리위즈</v>
      </c>
      <c r="I4764" t="str">
        <f t="shared" si="643"/>
        <v>[e북]게임 속 유닛</v>
      </c>
      <c r="J4764">
        <v>3200</v>
      </c>
      <c r="K4764">
        <v>0</v>
      </c>
      <c r="L4764">
        <v>0</v>
      </c>
      <c r="M4764">
        <v>0</v>
      </c>
      <c r="N4764">
        <v>4320</v>
      </c>
      <c r="O4764">
        <v>6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4320</v>
      </c>
      <c r="AH4764">
        <v>6</v>
      </c>
      <c r="AI4764">
        <v>0</v>
      </c>
      <c r="AJ4764">
        <v>0</v>
      </c>
      <c r="AK4764">
        <v>4320</v>
      </c>
      <c r="AL4764">
        <v>0</v>
      </c>
      <c r="AM4764">
        <v>0</v>
      </c>
      <c r="AN4764">
        <v>0</v>
      </c>
      <c r="AO4764">
        <v>0</v>
      </c>
      <c r="AP4764">
        <v>3024</v>
      </c>
      <c r="AT4764" t="str">
        <f>T("9791166065361")</f>
        <v>9791166065361</v>
      </c>
      <c r="AV4764" t="str">
        <f t="shared" si="644"/>
        <v>판타지 e북 &gt; 퓨전 판타지</v>
      </c>
    </row>
    <row r="4765" spans="1:48" x14ac:dyDescent="0.4">
      <c r="A4765">
        <v>2313010010</v>
      </c>
      <c r="B4765">
        <v>2313010020</v>
      </c>
      <c r="C4765" t="str">
        <f>T("[e북]게임 속 유닛 11권")</f>
        <v>[e북]게임 속 유닛 11권</v>
      </c>
      <c r="D4765" t="str">
        <f>T("11")</f>
        <v>11</v>
      </c>
      <c r="E4765" t="str">
        <f t="shared" si="642"/>
        <v>찬동</v>
      </c>
      <c r="H4765" t="str">
        <f t="shared" si="634"/>
        <v>스토리위즈</v>
      </c>
      <c r="I4765" t="str">
        <f t="shared" si="643"/>
        <v>[e북]게임 속 유닛</v>
      </c>
      <c r="J4765">
        <v>3200</v>
      </c>
      <c r="K4765">
        <v>0</v>
      </c>
      <c r="L4765">
        <v>0</v>
      </c>
      <c r="M4765">
        <v>0</v>
      </c>
      <c r="N4765">
        <v>4320</v>
      </c>
      <c r="O4765">
        <v>6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4320</v>
      </c>
      <c r="AH4765">
        <v>6</v>
      </c>
      <c r="AI4765">
        <v>0</v>
      </c>
      <c r="AJ4765">
        <v>0</v>
      </c>
      <c r="AK4765">
        <v>4320</v>
      </c>
      <c r="AL4765">
        <v>0</v>
      </c>
      <c r="AM4765">
        <v>0</v>
      </c>
      <c r="AN4765">
        <v>0</v>
      </c>
      <c r="AO4765">
        <v>0</v>
      </c>
      <c r="AP4765">
        <v>3024</v>
      </c>
      <c r="AT4765" t="str">
        <f>T("9791166065378")</f>
        <v>9791166065378</v>
      </c>
      <c r="AV4765" t="str">
        <f t="shared" si="644"/>
        <v>판타지 e북 &gt; 퓨전 판타지</v>
      </c>
    </row>
    <row r="4766" spans="1:48" x14ac:dyDescent="0.4">
      <c r="A4766">
        <v>2313010010</v>
      </c>
      <c r="B4766">
        <v>2313010021</v>
      </c>
      <c r="C4766" t="str">
        <f>T("[e북]게임 속 유닛 12권")</f>
        <v>[e북]게임 속 유닛 12권</v>
      </c>
      <c r="D4766" t="str">
        <f>T("12")</f>
        <v>12</v>
      </c>
      <c r="E4766" t="str">
        <f t="shared" si="642"/>
        <v>찬동</v>
      </c>
      <c r="H4766" t="str">
        <f t="shared" si="634"/>
        <v>스토리위즈</v>
      </c>
      <c r="I4766" t="str">
        <f t="shared" si="643"/>
        <v>[e북]게임 속 유닛</v>
      </c>
      <c r="J4766">
        <v>3200</v>
      </c>
      <c r="K4766">
        <v>0</v>
      </c>
      <c r="L4766">
        <v>0</v>
      </c>
      <c r="M4766">
        <v>0</v>
      </c>
      <c r="N4766">
        <v>4320</v>
      </c>
      <c r="O4766">
        <v>6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4320</v>
      </c>
      <c r="AH4766">
        <v>6</v>
      </c>
      <c r="AI4766">
        <v>0</v>
      </c>
      <c r="AJ4766">
        <v>0</v>
      </c>
      <c r="AK4766">
        <v>4320</v>
      </c>
      <c r="AL4766">
        <v>0</v>
      </c>
      <c r="AM4766">
        <v>0</v>
      </c>
      <c r="AN4766">
        <v>0</v>
      </c>
      <c r="AO4766">
        <v>0</v>
      </c>
      <c r="AP4766">
        <v>3024</v>
      </c>
      <c r="AT4766" t="str">
        <f>T("9791166065385")</f>
        <v>9791166065385</v>
      </c>
      <c r="AV4766" t="str">
        <f t="shared" si="644"/>
        <v>판타지 e북 &gt; 퓨전 판타지</v>
      </c>
    </row>
    <row r="4767" spans="1:48" x14ac:dyDescent="0.4">
      <c r="A4767">
        <v>2313010010</v>
      </c>
      <c r="B4767">
        <v>2313010022</v>
      </c>
      <c r="C4767" t="str">
        <f>T("[e북]게임 속 유닛 13권")</f>
        <v>[e북]게임 속 유닛 13권</v>
      </c>
      <c r="D4767" t="str">
        <f>T("13")</f>
        <v>13</v>
      </c>
      <c r="E4767" t="str">
        <f t="shared" si="642"/>
        <v>찬동</v>
      </c>
      <c r="H4767" t="str">
        <f t="shared" ref="H4767:H4830" si="645">T("스토리위즈")</f>
        <v>스토리위즈</v>
      </c>
      <c r="I4767" t="str">
        <f t="shared" si="643"/>
        <v>[e북]게임 속 유닛</v>
      </c>
      <c r="J4767">
        <v>3200</v>
      </c>
      <c r="K4767">
        <v>0</v>
      </c>
      <c r="L4767">
        <v>0</v>
      </c>
      <c r="M4767">
        <v>0</v>
      </c>
      <c r="N4767">
        <v>3420</v>
      </c>
      <c r="O4767">
        <v>5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3420</v>
      </c>
      <c r="AH4767">
        <v>5</v>
      </c>
      <c r="AI4767">
        <v>0</v>
      </c>
      <c r="AJ4767">
        <v>0</v>
      </c>
      <c r="AK4767">
        <v>3420</v>
      </c>
      <c r="AL4767">
        <v>0</v>
      </c>
      <c r="AM4767">
        <v>0</v>
      </c>
      <c r="AN4767">
        <v>0</v>
      </c>
      <c r="AO4767">
        <v>0</v>
      </c>
      <c r="AP4767">
        <v>2394</v>
      </c>
      <c r="AT4767" t="str">
        <f>T("9791166065392")</f>
        <v>9791166065392</v>
      </c>
      <c r="AV4767" t="str">
        <f t="shared" si="644"/>
        <v>판타지 e북 &gt; 퓨전 판타지</v>
      </c>
    </row>
    <row r="4768" spans="1:48" x14ac:dyDescent="0.4">
      <c r="A4768">
        <v>2313010010</v>
      </c>
      <c r="B4768">
        <v>2313010023</v>
      </c>
      <c r="C4768" t="str">
        <f>T("[e북]게임 속 유닛 14권")</f>
        <v>[e북]게임 속 유닛 14권</v>
      </c>
      <c r="D4768" t="str">
        <f>T("14")</f>
        <v>14</v>
      </c>
      <c r="E4768" t="str">
        <f t="shared" si="642"/>
        <v>찬동</v>
      </c>
      <c r="H4768" t="str">
        <f t="shared" si="645"/>
        <v>스토리위즈</v>
      </c>
      <c r="I4768" t="str">
        <f t="shared" si="643"/>
        <v>[e북]게임 속 유닛</v>
      </c>
      <c r="J4768">
        <v>3200</v>
      </c>
      <c r="K4768">
        <v>0</v>
      </c>
      <c r="L4768">
        <v>0</v>
      </c>
      <c r="M4768">
        <v>0</v>
      </c>
      <c r="N4768">
        <v>3420</v>
      </c>
      <c r="O4768">
        <v>5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3420</v>
      </c>
      <c r="AH4768">
        <v>5</v>
      </c>
      <c r="AI4768">
        <v>0</v>
      </c>
      <c r="AJ4768">
        <v>0</v>
      </c>
      <c r="AK4768">
        <v>3420</v>
      </c>
      <c r="AL4768">
        <v>0</v>
      </c>
      <c r="AM4768">
        <v>0</v>
      </c>
      <c r="AN4768">
        <v>0</v>
      </c>
      <c r="AO4768">
        <v>0</v>
      </c>
      <c r="AP4768">
        <v>2394</v>
      </c>
      <c r="AT4768" t="str">
        <f>T("9791166065408")</f>
        <v>9791166065408</v>
      </c>
      <c r="AV4768" t="str">
        <f t="shared" si="644"/>
        <v>판타지 e북 &gt; 퓨전 판타지</v>
      </c>
    </row>
    <row r="4769" spans="1:48" x14ac:dyDescent="0.4">
      <c r="A4769">
        <v>2313010010</v>
      </c>
      <c r="B4769">
        <v>2313010024</v>
      </c>
      <c r="C4769" t="str">
        <f>T("[e북]게임 속 유닛 15권")</f>
        <v>[e북]게임 속 유닛 15권</v>
      </c>
      <c r="D4769" t="str">
        <f>T("15")</f>
        <v>15</v>
      </c>
      <c r="E4769" t="str">
        <f t="shared" si="642"/>
        <v>찬동</v>
      </c>
      <c r="H4769" t="str">
        <f t="shared" si="645"/>
        <v>스토리위즈</v>
      </c>
      <c r="I4769" t="str">
        <f t="shared" si="643"/>
        <v>[e북]게임 속 유닛</v>
      </c>
      <c r="J4769">
        <v>3200</v>
      </c>
      <c r="K4769">
        <v>0</v>
      </c>
      <c r="L4769">
        <v>0</v>
      </c>
      <c r="M4769">
        <v>0</v>
      </c>
      <c r="N4769">
        <v>3420</v>
      </c>
      <c r="O4769">
        <v>5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3420</v>
      </c>
      <c r="AH4769">
        <v>5</v>
      </c>
      <c r="AI4769">
        <v>0</v>
      </c>
      <c r="AJ4769">
        <v>0</v>
      </c>
      <c r="AK4769">
        <v>3420</v>
      </c>
      <c r="AL4769">
        <v>0</v>
      </c>
      <c r="AM4769">
        <v>0</v>
      </c>
      <c r="AN4769">
        <v>0</v>
      </c>
      <c r="AO4769">
        <v>0</v>
      </c>
      <c r="AP4769">
        <v>2394</v>
      </c>
      <c r="AT4769" t="str">
        <f>T("9791166065415")</f>
        <v>9791166065415</v>
      </c>
      <c r="AV4769" t="str">
        <f t="shared" si="644"/>
        <v>판타지 e북 &gt; 퓨전 판타지</v>
      </c>
    </row>
    <row r="4770" spans="1:48" x14ac:dyDescent="0.4">
      <c r="A4770">
        <v>2313010010</v>
      </c>
      <c r="B4770">
        <v>2313010025</v>
      </c>
      <c r="C4770" t="str">
        <f>T("[e북]게임 속 유닛 16권 (완결)")</f>
        <v>[e북]게임 속 유닛 16권 (완결)</v>
      </c>
      <c r="D4770" t="str">
        <f>T("16")</f>
        <v>16</v>
      </c>
      <c r="E4770" t="str">
        <f t="shared" si="642"/>
        <v>찬동</v>
      </c>
      <c r="H4770" t="str">
        <f t="shared" si="645"/>
        <v>스토리위즈</v>
      </c>
      <c r="I4770" t="str">
        <f t="shared" si="643"/>
        <v>[e북]게임 속 유닛</v>
      </c>
      <c r="J4770">
        <v>3200</v>
      </c>
      <c r="K4770">
        <v>0</v>
      </c>
      <c r="L4770">
        <v>0</v>
      </c>
      <c r="M4770">
        <v>0</v>
      </c>
      <c r="N4770">
        <v>3420</v>
      </c>
      <c r="O4770">
        <v>5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3420</v>
      </c>
      <c r="AH4770">
        <v>5</v>
      </c>
      <c r="AI4770">
        <v>0</v>
      </c>
      <c r="AJ4770">
        <v>0</v>
      </c>
      <c r="AK4770">
        <v>3420</v>
      </c>
      <c r="AL4770">
        <v>0</v>
      </c>
      <c r="AM4770">
        <v>0</v>
      </c>
      <c r="AN4770">
        <v>0</v>
      </c>
      <c r="AO4770">
        <v>0</v>
      </c>
      <c r="AP4770">
        <v>2394</v>
      </c>
      <c r="AT4770" t="str">
        <f>T("9791166069031")</f>
        <v>9791166069031</v>
      </c>
      <c r="AV4770" t="str">
        <f t="shared" si="644"/>
        <v>판타지 e북 &gt; 퓨전 판타지</v>
      </c>
    </row>
    <row r="4771" spans="1:48" x14ac:dyDescent="0.4">
      <c r="A4771">
        <v>2313010290</v>
      </c>
      <c r="B4771">
        <v>2313010290</v>
      </c>
      <c r="C4771" t="str">
        <f>T("아저씨, 내 기분 왜 이래요? 1화")</f>
        <v>아저씨, 내 기분 왜 이래요? 1화</v>
      </c>
      <c r="D4771" t="str">
        <f>T("1")</f>
        <v>1</v>
      </c>
      <c r="E4771" t="str">
        <f>T("Livingston")</f>
        <v>Livingston</v>
      </c>
      <c r="H4771" t="str">
        <f t="shared" si="645"/>
        <v>스토리위즈</v>
      </c>
      <c r="I4771" t="str">
        <f>T("아저씨, 내 기분 왜 이래요?")</f>
        <v>아저씨, 내 기분 왜 이래요?</v>
      </c>
      <c r="J4771">
        <v>0</v>
      </c>
      <c r="K4771">
        <v>0</v>
      </c>
      <c r="L4771">
        <v>0</v>
      </c>
      <c r="M4771">
        <v>10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T4771" t="str">
        <f>T("9791166069482")</f>
        <v>9791166069482</v>
      </c>
      <c r="AV4771" t="str">
        <f>T("로맨스 웹소설 &gt; 현대물")</f>
        <v>로맨스 웹소설 &gt; 현대물</v>
      </c>
    </row>
    <row r="4772" spans="1:48" x14ac:dyDescent="0.4">
      <c r="A4772">
        <v>2313010290</v>
      </c>
      <c r="B4772">
        <v>2313010291</v>
      </c>
      <c r="C4772" t="str">
        <f>T("아저씨, 내 기분 왜 이래요? 2화")</f>
        <v>아저씨, 내 기분 왜 이래요? 2화</v>
      </c>
      <c r="D4772" t="str">
        <f>T("2")</f>
        <v>2</v>
      </c>
      <c r="E4772" t="str">
        <f>T("Livingston")</f>
        <v>Livingston</v>
      </c>
      <c r="H4772" t="str">
        <f t="shared" si="645"/>
        <v>스토리위즈</v>
      </c>
      <c r="I4772" t="str">
        <f>T("아저씨, 내 기분 왜 이래요?")</f>
        <v>아저씨, 내 기분 왜 이래요?</v>
      </c>
      <c r="J4772">
        <v>0</v>
      </c>
      <c r="K4772">
        <v>0</v>
      </c>
      <c r="L4772">
        <v>0</v>
      </c>
      <c r="M4772">
        <v>8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8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T4772" t="str">
        <f>T("9791166069482")</f>
        <v>9791166069482</v>
      </c>
      <c r="AV4772" t="str">
        <f>T("로맨스 웹소설 &gt; 현대물")</f>
        <v>로맨스 웹소설 &gt; 현대물</v>
      </c>
    </row>
    <row r="4773" spans="1:48" x14ac:dyDescent="0.4">
      <c r="A4773">
        <v>2313010290</v>
      </c>
      <c r="B4773">
        <v>2313010292</v>
      </c>
      <c r="C4773" t="str">
        <f>T("아저씨, 내 기분 왜 이래요? 3화")</f>
        <v>아저씨, 내 기분 왜 이래요? 3화</v>
      </c>
      <c r="D4773" t="str">
        <f>T("3")</f>
        <v>3</v>
      </c>
      <c r="E4773" t="str">
        <f>T("Livingston")</f>
        <v>Livingston</v>
      </c>
      <c r="H4773" t="str">
        <f t="shared" si="645"/>
        <v>스토리위즈</v>
      </c>
      <c r="I4773" t="str">
        <f>T("아저씨, 내 기분 왜 이래요?")</f>
        <v>아저씨, 내 기분 왜 이래요?</v>
      </c>
      <c r="J4773">
        <v>0</v>
      </c>
      <c r="K4773">
        <v>0</v>
      </c>
      <c r="L4773">
        <v>0</v>
      </c>
      <c r="M4773">
        <v>6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6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T4773" t="str">
        <f>T("9791166069482")</f>
        <v>9791166069482</v>
      </c>
      <c r="AV4773" t="str">
        <f>T("로맨스 웹소설 &gt; 현대물")</f>
        <v>로맨스 웹소설 &gt; 현대물</v>
      </c>
    </row>
    <row r="4774" spans="1:48" x14ac:dyDescent="0.4">
      <c r="A4774">
        <v>2313010364</v>
      </c>
      <c r="B4774">
        <v>2313010364</v>
      </c>
      <c r="C4774" t="str">
        <f>T("절대자의 귀환 1화")</f>
        <v>절대자의 귀환 1화</v>
      </c>
      <c r="D4774" t="str">
        <f>T("1")</f>
        <v>1</v>
      </c>
      <c r="E4774" t="str">
        <f t="shared" ref="E4774:E4799" si="646">T("장유진")</f>
        <v>장유진</v>
      </c>
      <c r="H4774" t="str">
        <f t="shared" si="645"/>
        <v>스토리위즈</v>
      </c>
      <c r="I4774" t="str">
        <f t="shared" ref="I4774:I4798" si="647">T("절대자의 귀환")</f>
        <v>절대자의 귀환</v>
      </c>
      <c r="J4774">
        <v>0</v>
      </c>
      <c r="K4774">
        <v>0</v>
      </c>
      <c r="L4774">
        <v>0</v>
      </c>
      <c r="M4774">
        <v>6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6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T4774" t="str">
        <f t="shared" ref="AT4774:AT4798" si="648">T("9791166069154")</f>
        <v>9791166069154</v>
      </c>
      <c r="AV4774" t="str">
        <f t="shared" ref="AV4774:AV4798" si="649">T("판타지 웹소설 &gt; 퓨전 판타지")</f>
        <v>판타지 웹소설 &gt; 퓨전 판타지</v>
      </c>
    </row>
    <row r="4775" spans="1:48" x14ac:dyDescent="0.4">
      <c r="A4775">
        <v>2313010364</v>
      </c>
      <c r="B4775">
        <v>2313010365</v>
      </c>
      <c r="C4775" t="str">
        <f>T("절대자의 귀환 2화")</f>
        <v>절대자의 귀환 2화</v>
      </c>
      <c r="D4775" t="str">
        <f>T("2")</f>
        <v>2</v>
      </c>
      <c r="E4775" t="str">
        <f t="shared" si="646"/>
        <v>장유진</v>
      </c>
      <c r="H4775" t="str">
        <f t="shared" si="645"/>
        <v>스토리위즈</v>
      </c>
      <c r="I4775" t="str">
        <f t="shared" si="647"/>
        <v>절대자의 귀환</v>
      </c>
      <c r="J4775">
        <v>0</v>
      </c>
      <c r="K4775">
        <v>0</v>
      </c>
      <c r="L4775">
        <v>0</v>
      </c>
      <c r="M4775">
        <v>7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7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T4775" t="str">
        <f t="shared" si="648"/>
        <v>9791166069154</v>
      </c>
      <c r="AV4775" t="str">
        <f t="shared" si="649"/>
        <v>판타지 웹소설 &gt; 퓨전 판타지</v>
      </c>
    </row>
    <row r="4776" spans="1:48" x14ac:dyDescent="0.4">
      <c r="A4776">
        <v>2313010364</v>
      </c>
      <c r="B4776">
        <v>2313010366</v>
      </c>
      <c r="C4776" t="str">
        <f>T("절대자의 귀환 3화")</f>
        <v>절대자의 귀환 3화</v>
      </c>
      <c r="D4776" t="str">
        <f>T("3")</f>
        <v>3</v>
      </c>
      <c r="E4776" t="str">
        <f t="shared" si="646"/>
        <v>장유진</v>
      </c>
      <c r="H4776" t="str">
        <f t="shared" si="645"/>
        <v>스토리위즈</v>
      </c>
      <c r="I4776" t="str">
        <f t="shared" si="647"/>
        <v>절대자의 귀환</v>
      </c>
      <c r="J4776">
        <v>0</v>
      </c>
      <c r="K4776">
        <v>0</v>
      </c>
      <c r="L4776">
        <v>0</v>
      </c>
      <c r="M4776">
        <v>6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6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T4776" t="str">
        <f t="shared" si="648"/>
        <v>9791166069154</v>
      </c>
      <c r="AV4776" t="str">
        <f t="shared" si="649"/>
        <v>판타지 웹소설 &gt; 퓨전 판타지</v>
      </c>
    </row>
    <row r="4777" spans="1:48" x14ac:dyDescent="0.4">
      <c r="A4777">
        <v>2313010364</v>
      </c>
      <c r="B4777">
        <v>2313010367</v>
      </c>
      <c r="C4777" t="str">
        <f>T("절대자의 귀환 4화")</f>
        <v>절대자의 귀환 4화</v>
      </c>
      <c r="D4777" t="str">
        <f>T("4")</f>
        <v>4</v>
      </c>
      <c r="E4777" t="str">
        <f t="shared" si="646"/>
        <v>장유진</v>
      </c>
      <c r="H4777" t="str">
        <f t="shared" si="645"/>
        <v>스토리위즈</v>
      </c>
      <c r="I4777" t="str">
        <f t="shared" si="647"/>
        <v>절대자의 귀환</v>
      </c>
      <c r="J4777">
        <v>0</v>
      </c>
      <c r="K4777">
        <v>0</v>
      </c>
      <c r="L4777">
        <v>0</v>
      </c>
      <c r="M4777">
        <v>5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5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T4777" t="str">
        <f t="shared" si="648"/>
        <v>9791166069154</v>
      </c>
      <c r="AV4777" t="str">
        <f t="shared" si="649"/>
        <v>판타지 웹소설 &gt; 퓨전 판타지</v>
      </c>
    </row>
    <row r="4778" spans="1:48" x14ac:dyDescent="0.4">
      <c r="A4778">
        <v>2313010364</v>
      </c>
      <c r="B4778">
        <v>2313010368</v>
      </c>
      <c r="C4778" t="str">
        <f>T("절대자의 귀환 5화")</f>
        <v>절대자의 귀환 5화</v>
      </c>
      <c r="D4778" t="str">
        <f>T("5")</f>
        <v>5</v>
      </c>
      <c r="E4778" t="str">
        <f t="shared" si="646"/>
        <v>장유진</v>
      </c>
      <c r="H4778" t="str">
        <f t="shared" si="645"/>
        <v>스토리위즈</v>
      </c>
      <c r="I4778" t="str">
        <f t="shared" si="647"/>
        <v>절대자의 귀환</v>
      </c>
      <c r="J4778">
        <v>0</v>
      </c>
      <c r="K4778">
        <v>0</v>
      </c>
      <c r="L4778">
        <v>0</v>
      </c>
      <c r="M4778">
        <v>5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5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T4778" t="str">
        <f t="shared" si="648"/>
        <v>9791166069154</v>
      </c>
      <c r="AV4778" t="str">
        <f t="shared" si="649"/>
        <v>판타지 웹소설 &gt; 퓨전 판타지</v>
      </c>
    </row>
    <row r="4779" spans="1:48" x14ac:dyDescent="0.4">
      <c r="A4779">
        <v>2313010364</v>
      </c>
      <c r="B4779">
        <v>2313010369</v>
      </c>
      <c r="C4779" t="str">
        <f>T("절대자의 귀환 6화")</f>
        <v>절대자의 귀환 6화</v>
      </c>
      <c r="D4779" t="str">
        <f>T("6")</f>
        <v>6</v>
      </c>
      <c r="E4779" t="str">
        <f t="shared" si="646"/>
        <v>장유진</v>
      </c>
      <c r="H4779" t="str">
        <f t="shared" si="645"/>
        <v>스토리위즈</v>
      </c>
      <c r="I4779" t="str">
        <f t="shared" si="647"/>
        <v>절대자의 귀환</v>
      </c>
      <c r="J4779">
        <v>0</v>
      </c>
      <c r="K4779">
        <v>0</v>
      </c>
      <c r="L4779">
        <v>0</v>
      </c>
      <c r="M4779">
        <v>5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5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T4779" t="str">
        <f t="shared" si="648"/>
        <v>9791166069154</v>
      </c>
      <c r="AV4779" t="str">
        <f t="shared" si="649"/>
        <v>판타지 웹소설 &gt; 퓨전 판타지</v>
      </c>
    </row>
    <row r="4780" spans="1:48" x14ac:dyDescent="0.4">
      <c r="A4780">
        <v>2313010364</v>
      </c>
      <c r="B4780">
        <v>2313010370</v>
      </c>
      <c r="C4780" t="str">
        <f>T("절대자의 귀환 7화")</f>
        <v>절대자의 귀환 7화</v>
      </c>
      <c r="D4780" t="str">
        <f>T("7")</f>
        <v>7</v>
      </c>
      <c r="E4780" t="str">
        <f t="shared" si="646"/>
        <v>장유진</v>
      </c>
      <c r="H4780" t="str">
        <f t="shared" si="645"/>
        <v>스토리위즈</v>
      </c>
      <c r="I4780" t="str">
        <f t="shared" si="647"/>
        <v>절대자의 귀환</v>
      </c>
      <c r="J4780">
        <v>0</v>
      </c>
      <c r="K4780">
        <v>0</v>
      </c>
      <c r="L4780">
        <v>0</v>
      </c>
      <c r="M4780">
        <v>5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5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T4780" t="str">
        <f t="shared" si="648"/>
        <v>9791166069154</v>
      </c>
      <c r="AV4780" t="str">
        <f t="shared" si="649"/>
        <v>판타지 웹소설 &gt; 퓨전 판타지</v>
      </c>
    </row>
    <row r="4781" spans="1:48" x14ac:dyDescent="0.4">
      <c r="A4781">
        <v>2313010364</v>
      </c>
      <c r="B4781">
        <v>2313010371</v>
      </c>
      <c r="C4781" t="str">
        <f>T("절대자의 귀환 8화")</f>
        <v>절대자의 귀환 8화</v>
      </c>
      <c r="D4781" t="str">
        <f>T("8")</f>
        <v>8</v>
      </c>
      <c r="E4781" t="str">
        <f t="shared" si="646"/>
        <v>장유진</v>
      </c>
      <c r="H4781" t="str">
        <f t="shared" si="645"/>
        <v>스토리위즈</v>
      </c>
      <c r="I4781" t="str">
        <f t="shared" si="647"/>
        <v>절대자의 귀환</v>
      </c>
      <c r="J4781">
        <v>0</v>
      </c>
      <c r="K4781">
        <v>0</v>
      </c>
      <c r="L4781">
        <v>0</v>
      </c>
      <c r="M4781">
        <v>5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5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T4781" t="str">
        <f t="shared" si="648"/>
        <v>9791166069154</v>
      </c>
      <c r="AV4781" t="str">
        <f t="shared" si="649"/>
        <v>판타지 웹소설 &gt; 퓨전 판타지</v>
      </c>
    </row>
    <row r="4782" spans="1:48" x14ac:dyDescent="0.4">
      <c r="A4782">
        <v>2313010364</v>
      </c>
      <c r="B4782">
        <v>2313010372</v>
      </c>
      <c r="C4782" t="str">
        <f>T("절대자의 귀환 9화")</f>
        <v>절대자의 귀환 9화</v>
      </c>
      <c r="D4782" t="str">
        <f>T("9")</f>
        <v>9</v>
      </c>
      <c r="E4782" t="str">
        <f t="shared" si="646"/>
        <v>장유진</v>
      </c>
      <c r="H4782" t="str">
        <f t="shared" si="645"/>
        <v>스토리위즈</v>
      </c>
      <c r="I4782" t="str">
        <f t="shared" si="647"/>
        <v>절대자의 귀환</v>
      </c>
      <c r="J4782">
        <v>0</v>
      </c>
      <c r="K4782">
        <v>0</v>
      </c>
      <c r="L4782">
        <v>0</v>
      </c>
      <c r="M4782">
        <v>5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5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T4782" t="str">
        <f t="shared" si="648"/>
        <v>9791166069154</v>
      </c>
      <c r="AV4782" t="str">
        <f t="shared" si="649"/>
        <v>판타지 웹소설 &gt; 퓨전 판타지</v>
      </c>
    </row>
    <row r="4783" spans="1:48" x14ac:dyDescent="0.4">
      <c r="A4783">
        <v>2313010364</v>
      </c>
      <c r="B4783">
        <v>2313010373</v>
      </c>
      <c r="C4783" t="str">
        <f>T("절대자의 귀환 10화")</f>
        <v>절대자의 귀환 10화</v>
      </c>
      <c r="D4783" t="str">
        <f>T("10")</f>
        <v>10</v>
      </c>
      <c r="E4783" t="str">
        <f t="shared" si="646"/>
        <v>장유진</v>
      </c>
      <c r="H4783" t="str">
        <f t="shared" si="645"/>
        <v>스토리위즈</v>
      </c>
      <c r="I4783" t="str">
        <f t="shared" si="647"/>
        <v>절대자의 귀환</v>
      </c>
      <c r="J4783">
        <v>0</v>
      </c>
      <c r="K4783">
        <v>0</v>
      </c>
      <c r="L4783">
        <v>0</v>
      </c>
      <c r="M4783">
        <v>5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5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T4783" t="str">
        <f t="shared" si="648"/>
        <v>9791166069154</v>
      </c>
      <c r="AV4783" t="str">
        <f t="shared" si="649"/>
        <v>판타지 웹소설 &gt; 퓨전 판타지</v>
      </c>
    </row>
    <row r="4784" spans="1:48" x14ac:dyDescent="0.4">
      <c r="A4784">
        <v>2313010364</v>
      </c>
      <c r="B4784">
        <v>2313010374</v>
      </c>
      <c r="C4784" t="str">
        <f>T("절대자의 귀환 11화")</f>
        <v>절대자의 귀환 11화</v>
      </c>
      <c r="D4784" t="str">
        <f>T("11")</f>
        <v>11</v>
      </c>
      <c r="E4784" t="str">
        <f t="shared" si="646"/>
        <v>장유진</v>
      </c>
      <c r="H4784" t="str">
        <f t="shared" si="645"/>
        <v>스토리위즈</v>
      </c>
      <c r="I4784" t="str">
        <f t="shared" si="647"/>
        <v>절대자의 귀환</v>
      </c>
      <c r="J4784">
        <v>0</v>
      </c>
      <c r="K4784">
        <v>0</v>
      </c>
      <c r="L4784">
        <v>0</v>
      </c>
      <c r="M4784">
        <v>5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5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T4784" t="str">
        <f t="shared" si="648"/>
        <v>9791166069154</v>
      </c>
      <c r="AV4784" t="str">
        <f t="shared" si="649"/>
        <v>판타지 웹소설 &gt; 퓨전 판타지</v>
      </c>
    </row>
    <row r="4785" spans="1:48" x14ac:dyDescent="0.4">
      <c r="A4785">
        <v>2313010364</v>
      </c>
      <c r="B4785">
        <v>2313010375</v>
      </c>
      <c r="C4785" t="str">
        <f>T("절대자의 귀환 12화")</f>
        <v>절대자의 귀환 12화</v>
      </c>
      <c r="D4785" t="str">
        <f>T("12")</f>
        <v>12</v>
      </c>
      <c r="E4785" t="str">
        <f t="shared" si="646"/>
        <v>장유진</v>
      </c>
      <c r="H4785" t="str">
        <f t="shared" si="645"/>
        <v>스토리위즈</v>
      </c>
      <c r="I4785" t="str">
        <f t="shared" si="647"/>
        <v>절대자의 귀환</v>
      </c>
      <c r="J4785">
        <v>0</v>
      </c>
      <c r="K4785">
        <v>0</v>
      </c>
      <c r="L4785">
        <v>0</v>
      </c>
      <c r="M4785">
        <v>5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5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T4785" t="str">
        <f t="shared" si="648"/>
        <v>9791166069154</v>
      </c>
      <c r="AV4785" t="str">
        <f t="shared" si="649"/>
        <v>판타지 웹소설 &gt; 퓨전 판타지</v>
      </c>
    </row>
    <row r="4786" spans="1:48" x14ac:dyDescent="0.4">
      <c r="A4786">
        <v>2313010364</v>
      </c>
      <c r="B4786">
        <v>2313010376</v>
      </c>
      <c r="C4786" t="str">
        <f>T("절대자의 귀환 13화")</f>
        <v>절대자의 귀환 13화</v>
      </c>
      <c r="D4786" t="str">
        <f>T("13")</f>
        <v>13</v>
      </c>
      <c r="E4786" t="str">
        <f t="shared" si="646"/>
        <v>장유진</v>
      </c>
      <c r="H4786" t="str">
        <f t="shared" si="645"/>
        <v>스토리위즈</v>
      </c>
      <c r="I4786" t="str">
        <f t="shared" si="647"/>
        <v>절대자의 귀환</v>
      </c>
      <c r="J4786">
        <v>0</v>
      </c>
      <c r="K4786">
        <v>0</v>
      </c>
      <c r="L4786">
        <v>0</v>
      </c>
      <c r="M4786">
        <v>5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5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T4786" t="str">
        <f t="shared" si="648"/>
        <v>9791166069154</v>
      </c>
      <c r="AV4786" t="str">
        <f t="shared" si="649"/>
        <v>판타지 웹소설 &gt; 퓨전 판타지</v>
      </c>
    </row>
    <row r="4787" spans="1:48" x14ac:dyDescent="0.4">
      <c r="A4787">
        <v>2313010364</v>
      </c>
      <c r="B4787">
        <v>2313010377</v>
      </c>
      <c r="C4787" t="str">
        <f>T("절대자의 귀환 14화")</f>
        <v>절대자의 귀환 14화</v>
      </c>
      <c r="D4787" t="str">
        <f>T("14")</f>
        <v>14</v>
      </c>
      <c r="E4787" t="str">
        <f t="shared" si="646"/>
        <v>장유진</v>
      </c>
      <c r="H4787" t="str">
        <f t="shared" si="645"/>
        <v>스토리위즈</v>
      </c>
      <c r="I4787" t="str">
        <f t="shared" si="647"/>
        <v>절대자의 귀환</v>
      </c>
      <c r="J4787">
        <v>0</v>
      </c>
      <c r="K4787">
        <v>0</v>
      </c>
      <c r="L4787">
        <v>0</v>
      </c>
      <c r="M4787">
        <v>5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5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T4787" t="str">
        <f t="shared" si="648"/>
        <v>9791166069154</v>
      </c>
      <c r="AV4787" t="str">
        <f t="shared" si="649"/>
        <v>판타지 웹소설 &gt; 퓨전 판타지</v>
      </c>
    </row>
    <row r="4788" spans="1:48" x14ac:dyDescent="0.4">
      <c r="A4788">
        <v>2313010364</v>
      </c>
      <c r="B4788">
        <v>2313010378</v>
      </c>
      <c r="C4788" t="str">
        <f>T("절대자의 귀환 15화")</f>
        <v>절대자의 귀환 15화</v>
      </c>
      <c r="D4788" t="str">
        <f>T("15")</f>
        <v>15</v>
      </c>
      <c r="E4788" t="str">
        <f t="shared" si="646"/>
        <v>장유진</v>
      </c>
      <c r="H4788" t="str">
        <f t="shared" si="645"/>
        <v>스토리위즈</v>
      </c>
      <c r="I4788" t="str">
        <f t="shared" si="647"/>
        <v>절대자의 귀환</v>
      </c>
      <c r="J4788">
        <v>0</v>
      </c>
      <c r="K4788">
        <v>0</v>
      </c>
      <c r="L4788">
        <v>0</v>
      </c>
      <c r="M4788">
        <v>5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5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T4788" t="str">
        <f t="shared" si="648"/>
        <v>9791166069154</v>
      </c>
      <c r="AV4788" t="str">
        <f t="shared" si="649"/>
        <v>판타지 웹소설 &gt; 퓨전 판타지</v>
      </c>
    </row>
    <row r="4789" spans="1:48" x14ac:dyDescent="0.4">
      <c r="A4789">
        <v>2313010364</v>
      </c>
      <c r="B4789">
        <v>2313010379</v>
      </c>
      <c r="C4789" t="str">
        <f>T("절대자의 귀환 16화")</f>
        <v>절대자의 귀환 16화</v>
      </c>
      <c r="D4789" t="str">
        <f>T("16")</f>
        <v>16</v>
      </c>
      <c r="E4789" t="str">
        <f t="shared" si="646"/>
        <v>장유진</v>
      </c>
      <c r="H4789" t="str">
        <f t="shared" si="645"/>
        <v>스토리위즈</v>
      </c>
      <c r="I4789" t="str">
        <f t="shared" si="647"/>
        <v>절대자의 귀환</v>
      </c>
      <c r="J4789">
        <v>0</v>
      </c>
      <c r="K4789">
        <v>0</v>
      </c>
      <c r="L4789">
        <v>0</v>
      </c>
      <c r="M4789">
        <v>5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5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T4789" t="str">
        <f t="shared" si="648"/>
        <v>9791166069154</v>
      </c>
      <c r="AV4789" t="str">
        <f t="shared" si="649"/>
        <v>판타지 웹소설 &gt; 퓨전 판타지</v>
      </c>
    </row>
    <row r="4790" spans="1:48" x14ac:dyDescent="0.4">
      <c r="A4790">
        <v>2313010364</v>
      </c>
      <c r="B4790">
        <v>2313010380</v>
      </c>
      <c r="C4790" t="str">
        <f>T("절대자의 귀환 17화")</f>
        <v>절대자의 귀환 17화</v>
      </c>
      <c r="D4790" t="str">
        <f>T("17")</f>
        <v>17</v>
      </c>
      <c r="E4790" t="str">
        <f t="shared" si="646"/>
        <v>장유진</v>
      </c>
      <c r="H4790" t="str">
        <f t="shared" si="645"/>
        <v>스토리위즈</v>
      </c>
      <c r="I4790" t="str">
        <f t="shared" si="647"/>
        <v>절대자의 귀환</v>
      </c>
      <c r="J4790">
        <v>0</v>
      </c>
      <c r="K4790">
        <v>0</v>
      </c>
      <c r="L4790">
        <v>0</v>
      </c>
      <c r="M4790">
        <v>6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6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T4790" t="str">
        <f t="shared" si="648"/>
        <v>9791166069154</v>
      </c>
      <c r="AV4790" t="str">
        <f t="shared" si="649"/>
        <v>판타지 웹소설 &gt; 퓨전 판타지</v>
      </c>
    </row>
    <row r="4791" spans="1:48" x14ac:dyDescent="0.4">
      <c r="A4791">
        <v>2313010364</v>
      </c>
      <c r="B4791">
        <v>2313010381</v>
      </c>
      <c r="C4791" t="str">
        <f>T("절대자의 귀환 18화")</f>
        <v>절대자의 귀환 18화</v>
      </c>
      <c r="D4791" t="str">
        <f>T("18")</f>
        <v>18</v>
      </c>
      <c r="E4791" t="str">
        <f t="shared" si="646"/>
        <v>장유진</v>
      </c>
      <c r="H4791" t="str">
        <f t="shared" si="645"/>
        <v>스토리위즈</v>
      </c>
      <c r="I4791" t="str">
        <f t="shared" si="647"/>
        <v>절대자의 귀환</v>
      </c>
      <c r="J4791">
        <v>0</v>
      </c>
      <c r="K4791">
        <v>0</v>
      </c>
      <c r="L4791">
        <v>0</v>
      </c>
      <c r="M4791">
        <v>5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5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T4791" t="str">
        <f t="shared" si="648"/>
        <v>9791166069154</v>
      </c>
      <c r="AV4791" t="str">
        <f t="shared" si="649"/>
        <v>판타지 웹소설 &gt; 퓨전 판타지</v>
      </c>
    </row>
    <row r="4792" spans="1:48" x14ac:dyDescent="0.4">
      <c r="A4792">
        <v>2313010364</v>
      </c>
      <c r="B4792">
        <v>2313010382</v>
      </c>
      <c r="C4792" t="str">
        <f>T("절대자의 귀환 19화")</f>
        <v>절대자의 귀환 19화</v>
      </c>
      <c r="D4792" t="str">
        <f>T("19")</f>
        <v>19</v>
      </c>
      <c r="E4792" t="str">
        <f t="shared" si="646"/>
        <v>장유진</v>
      </c>
      <c r="H4792" t="str">
        <f t="shared" si="645"/>
        <v>스토리위즈</v>
      </c>
      <c r="I4792" t="str">
        <f t="shared" si="647"/>
        <v>절대자의 귀환</v>
      </c>
      <c r="J4792">
        <v>0</v>
      </c>
      <c r="K4792">
        <v>0</v>
      </c>
      <c r="L4792">
        <v>0</v>
      </c>
      <c r="M4792">
        <v>5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5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T4792" t="str">
        <f t="shared" si="648"/>
        <v>9791166069154</v>
      </c>
      <c r="AV4792" t="str">
        <f t="shared" si="649"/>
        <v>판타지 웹소설 &gt; 퓨전 판타지</v>
      </c>
    </row>
    <row r="4793" spans="1:48" x14ac:dyDescent="0.4">
      <c r="A4793">
        <v>2313010364</v>
      </c>
      <c r="B4793">
        <v>2313010383</v>
      </c>
      <c r="C4793" t="str">
        <f>T("절대자의 귀환 20화")</f>
        <v>절대자의 귀환 20화</v>
      </c>
      <c r="D4793" t="str">
        <f>T("20")</f>
        <v>20</v>
      </c>
      <c r="E4793" t="str">
        <f t="shared" si="646"/>
        <v>장유진</v>
      </c>
      <c r="H4793" t="str">
        <f t="shared" si="645"/>
        <v>스토리위즈</v>
      </c>
      <c r="I4793" t="str">
        <f t="shared" si="647"/>
        <v>절대자의 귀환</v>
      </c>
      <c r="J4793">
        <v>0</v>
      </c>
      <c r="K4793">
        <v>0</v>
      </c>
      <c r="L4793">
        <v>0</v>
      </c>
      <c r="M4793">
        <v>5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5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T4793" t="str">
        <f t="shared" si="648"/>
        <v>9791166069154</v>
      </c>
      <c r="AV4793" t="str">
        <f t="shared" si="649"/>
        <v>판타지 웹소설 &gt; 퓨전 판타지</v>
      </c>
    </row>
    <row r="4794" spans="1:48" x14ac:dyDescent="0.4">
      <c r="A4794">
        <v>2313010364</v>
      </c>
      <c r="B4794">
        <v>2313010384</v>
      </c>
      <c r="C4794" t="str">
        <f>T("절대자의 귀환 21화")</f>
        <v>절대자의 귀환 21화</v>
      </c>
      <c r="D4794" t="str">
        <f>T("21")</f>
        <v>21</v>
      </c>
      <c r="E4794" t="str">
        <f t="shared" si="646"/>
        <v>장유진</v>
      </c>
      <c r="H4794" t="str">
        <f t="shared" si="645"/>
        <v>스토리위즈</v>
      </c>
      <c r="I4794" t="str">
        <f t="shared" si="647"/>
        <v>절대자의 귀환</v>
      </c>
      <c r="J4794">
        <v>0</v>
      </c>
      <c r="K4794">
        <v>0</v>
      </c>
      <c r="L4794">
        <v>0</v>
      </c>
      <c r="M4794">
        <v>4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4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T4794" t="str">
        <f t="shared" si="648"/>
        <v>9791166069154</v>
      </c>
      <c r="AV4794" t="str">
        <f t="shared" si="649"/>
        <v>판타지 웹소설 &gt; 퓨전 판타지</v>
      </c>
    </row>
    <row r="4795" spans="1:48" x14ac:dyDescent="0.4">
      <c r="A4795">
        <v>2313010364</v>
      </c>
      <c r="B4795">
        <v>2313010385</v>
      </c>
      <c r="C4795" t="str">
        <f>T("절대자의 귀환 22화")</f>
        <v>절대자의 귀환 22화</v>
      </c>
      <c r="D4795" t="str">
        <f>T("22")</f>
        <v>22</v>
      </c>
      <c r="E4795" t="str">
        <f t="shared" si="646"/>
        <v>장유진</v>
      </c>
      <c r="H4795" t="str">
        <f t="shared" si="645"/>
        <v>스토리위즈</v>
      </c>
      <c r="I4795" t="str">
        <f t="shared" si="647"/>
        <v>절대자의 귀환</v>
      </c>
      <c r="J4795">
        <v>0</v>
      </c>
      <c r="K4795">
        <v>0</v>
      </c>
      <c r="L4795">
        <v>0</v>
      </c>
      <c r="M4795">
        <v>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4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T4795" t="str">
        <f t="shared" si="648"/>
        <v>9791166069154</v>
      </c>
      <c r="AV4795" t="str">
        <f t="shared" si="649"/>
        <v>판타지 웹소설 &gt; 퓨전 판타지</v>
      </c>
    </row>
    <row r="4796" spans="1:48" x14ac:dyDescent="0.4">
      <c r="A4796">
        <v>2313010364</v>
      </c>
      <c r="B4796">
        <v>2313010386</v>
      </c>
      <c r="C4796" t="str">
        <f>T("절대자의 귀환 23화")</f>
        <v>절대자의 귀환 23화</v>
      </c>
      <c r="D4796" t="str">
        <f>T("23")</f>
        <v>23</v>
      </c>
      <c r="E4796" t="str">
        <f t="shared" si="646"/>
        <v>장유진</v>
      </c>
      <c r="H4796" t="str">
        <f t="shared" si="645"/>
        <v>스토리위즈</v>
      </c>
      <c r="I4796" t="str">
        <f t="shared" si="647"/>
        <v>절대자의 귀환</v>
      </c>
      <c r="J4796">
        <v>0</v>
      </c>
      <c r="K4796">
        <v>0</v>
      </c>
      <c r="L4796">
        <v>0</v>
      </c>
      <c r="M4796">
        <v>4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4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T4796" t="str">
        <f t="shared" si="648"/>
        <v>9791166069154</v>
      </c>
      <c r="AV4796" t="str">
        <f t="shared" si="649"/>
        <v>판타지 웹소설 &gt; 퓨전 판타지</v>
      </c>
    </row>
    <row r="4797" spans="1:48" x14ac:dyDescent="0.4">
      <c r="A4797">
        <v>2313010364</v>
      </c>
      <c r="B4797">
        <v>2313010387</v>
      </c>
      <c r="C4797" t="str">
        <f>T("절대자의 귀환 24화")</f>
        <v>절대자의 귀환 24화</v>
      </c>
      <c r="D4797" t="str">
        <f>T("24")</f>
        <v>24</v>
      </c>
      <c r="E4797" t="str">
        <f t="shared" si="646"/>
        <v>장유진</v>
      </c>
      <c r="H4797" t="str">
        <f t="shared" si="645"/>
        <v>스토리위즈</v>
      </c>
      <c r="I4797" t="str">
        <f t="shared" si="647"/>
        <v>절대자의 귀환</v>
      </c>
      <c r="J4797">
        <v>0</v>
      </c>
      <c r="K4797">
        <v>0</v>
      </c>
      <c r="L4797">
        <v>0</v>
      </c>
      <c r="M4797">
        <v>4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4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T4797" t="str">
        <f t="shared" si="648"/>
        <v>9791166069154</v>
      </c>
      <c r="AV4797" t="str">
        <f t="shared" si="649"/>
        <v>판타지 웹소설 &gt; 퓨전 판타지</v>
      </c>
    </row>
    <row r="4798" spans="1:48" x14ac:dyDescent="0.4">
      <c r="A4798">
        <v>2313010364</v>
      </c>
      <c r="B4798">
        <v>2313010388</v>
      </c>
      <c r="C4798" t="str">
        <f>T("절대자의 귀환 25화")</f>
        <v>절대자의 귀환 25화</v>
      </c>
      <c r="D4798" t="str">
        <f>T("25")</f>
        <v>25</v>
      </c>
      <c r="E4798" t="str">
        <f t="shared" si="646"/>
        <v>장유진</v>
      </c>
      <c r="H4798" t="str">
        <f t="shared" si="645"/>
        <v>스토리위즈</v>
      </c>
      <c r="I4798" t="str">
        <f t="shared" si="647"/>
        <v>절대자의 귀환</v>
      </c>
      <c r="J4798">
        <v>0</v>
      </c>
      <c r="K4798">
        <v>0</v>
      </c>
      <c r="L4798">
        <v>0</v>
      </c>
      <c r="M4798">
        <v>4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4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T4798" t="str">
        <f t="shared" si="648"/>
        <v>9791166069154</v>
      </c>
      <c r="AV4798" t="str">
        <f t="shared" si="649"/>
        <v>판타지 웹소설 &gt; 퓨전 판타지</v>
      </c>
    </row>
    <row r="4799" spans="1:48" x14ac:dyDescent="0.4">
      <c r="A4799">
        <v>2313010576</v>
      </c>
      <c r="B4799">
        <v>2313010576</v>
      </c>
      <c r="C4799" t="str">
        <f>T("[e북]절대자의 귀환 1권")</f>
        <v>[e북]절대자의 귀환 1권</v>
      </c>
      <c r="D4799" t="str">
        <f>T("1")</f>
        <v>1</v>
      </c>
      <c r="E4799" t="str">
        <f t="shared" si="646"/>
        <v>장유진</v>
      </c>
      <c r="H4799" t="str">
        <f t="shared" si="645"/>
        <v>스토리위즈</v>
      </c>
      <c r="I4799" t="str">
        <f>T("[e북]절대자의 귀환")</f>
        <v>[e북]절대자의 귀환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2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T4799" t="str">
        <f>T("9791166069765")</f>
        <v>9791166069765</v>
      </c>
      <c r="AV4799" t="str">
        <f>T("판타지 e북 &gt; 퓨전 판타지")</f>
        <v>판타지 e북 &gt; 퓨전 판타지</v>
      </c>
    </row>
    <row r="4800" spans="1:48" x14ac:dyDescent="0.4">
      <c r="A4800">
        <v>2313010585</v>
      </c>
      <c r="B4800">
        <v>2313010585</v>
      </c>
      <c r="C4800" t="str">
        <f>T("라스트 서바이버 1화")</f>
        <v>라스트 서바이버 1화</v>
      </c>
      <c r="D4800" t="str">
        <f>T("1")</f>
        <v>1</v>
      </c>
      <c r="E4800" t="str">
        <f t="shared" ref="E4800:E4827" si="650">T("청빙")</f>
        <v>청빙</v>
      </c>
      <c r="H4800" t="str">
        <f t="shared" si="645"/>
        <v>스토리위즈</v>
      </c>
      <c r="I4800" t="str">
        <f t="shared" ref="I4800:I4826" si="651">T("라스트 서바이버")</f>
        <v>라스트 서바이버</v>
      </c>
      <c r="J4800">
        <v>0</v>
      </c>
      <c r="K4800">
        <v>0</v>
      </c>
      <c r="L4800">
        <v>0</v>
      </c>
      <c r="M4800">
        <v>8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8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T4800" t="str">
        <f t="shared" ref="AT4800:AT4826" si="652">T("9791137600119")</f>
        <v>9791137600119</v>
      </c>
      <c r="AV4800" t="str">
        <f t="shared" ref="AV4800:AV4827" si="653">T("판타지 웹소설 &gt; 퓨전 판타지")</f>
        <v>판타지 웹소설 &gt; 퓨전 판타지</v>
      </c>
    </row>
    <row r="4801" spans="1:48" x14ac:dyDescent="0.4">
      <c r="A4801">
        <v>2313010585</v>
      </c>
      <c r="B4801">
        <v>2313010586</v>
      </c>
      <c r="C4801" t="str">
        <f>T("라스트 서바이버 2화")</f>
        <v>라스트 서바이버 2화</v>
      </c>
      <c r="D4801" t="str">
        <f>T("2")</f>
        <v>2</v>
      </c>
      <c r="E4801" t="str">
        <f t="shared" si="650"/>
        <v>청빙</v>
      </c>
      <c r="H4801" t="str">
        <f t="shared" si="645"/>
        <v>스토리위즈</v>
      </c>
      <c r="I4801" t="str">
        <f t="shared" si="651"/>
        <v>라스트 서바이버</v>
      </c>
      <c r="J4801">
        <v>0</v>
      </c>
      <c r="K4801">
        <v>0</v>
      </c>
      <c r="L4801">
        <v>0</v>
      </c>
      <c r="M4801">
        <v>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5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T4801" t="str">
        <f t="shared" si="652"/>
        <v>9791137600119</v>
      </c>
      <c r="AV4801" t="str">
        <f t="shared" si="653"/>
        <v>판타지 웹소설 &gt; 퓨전 판타지</v>
      </c>
    </row>
    <row r="4802" spans="1:48" x14ac:dyDescent="0.4">
      <c r="A4802">
        <v>2313010585</v>
      </c>
      <c r="B4802">
        <v>2313010587</v>
      </c>
      <c r="C4802" t="str">
        <f>T("라스트 서바이버 3화")</f>
        <v>라스트 서바이버 3화</v>
      </c>
      <c r="D4802" t="str">
        <f>T("3")</f>
        <v>3</v>
      </c>
      <c r="E4802" t="str">
        <f t="shared" si="650"/>
        <v>청빙</v>
      </c>
      <c r="H4802" t="str">
        <f t="shared" si="645"/>
        <v>스토리위즈</v>
      </c>
      <c r="I4802" t="str">
        <f t="shared" si="651"/>
        <v>라스트 서바이버</v>
      </c>
      <c r="J4802">
        <v>0</v>
      </c>
      <c r="K4802">
        <v>0</v>
      </c>
      <c r="L4802">
        <v>0</v>
      </c>
      <c r="M4802">
        <v>5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5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T4802" t="str">
        <f t="shared" si="652"/>
        <v>9791137600119</v>
      </c>
      <c r="AV4802" t="str">
        <f t="shared" si="653"/>
        <v>판타지 웹소설 &gt; 퓨전 판타지</v>
      </c>
    </row>
    <row r="4803" spans="1:48" x14ac:dyDescent="0.4">
      <c r="A4803">
        <v>2313010585</v>
      </c>
      <c r="B4803">
        <v>2313010588</v>
      </c>
      <c r="C4803" t="str">
        <f>T("라스트 서바이버 4화")</f>
        <v>라스트 서바이버 4화</v>
      </c>
      <c r="D4803" t="str">
        <f>T("4")</f>
        <v>4</v>
      </c>
      <c r="E4803" t="str">
        <f t="shared" si="650"/>
        <v>청빙</v>
      </c>
      <c r="H4803" t="str">
        <f t="shared" si="645"/>
        <v>스토리위즈</v>
      </c>
      <c r="I4803" t="str">
        <f t="shared" si="651"/>
        <v>라스트 서바이버</v>
      </c>
      <c r="J4803">
        <v>0</v>
      </c>
      <c r="K4803">
        <v>0</v>
      </c>
      <c r="L4803">
        <v>0</v>
      </c>
      <c r="M4803">
        <v>5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5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T4803" t="str">
        <f t="shared" si="652"/>
        <v>9791137600119</v>
      </c>
      <c r="AV4803" t="str">
        <f t="shared" si="653"/>
        <v>판타지 웹소설 &gt; 퓨전 판타지</v>
      </c>
    </row>
    <row r="4804" spans="1:48" x14ac:dyDescent="0.4">
      <c r="A4804">
        <v>2313010585</v>
      </c>
      <c r="B4804">
        <v>2313010589</v>
      </c>
      <c r="C4804" t="str">
        <f>T("라스트 서바이버 5화")</f>
        <v>라스트 서바이버 5화</v>
      </c>
      <c r="D4804" t="str">
        <f>T("5")</f>
        <v>5</v>
      </c>
      <c r="E4804" t="str">
        <f t="shared" si="650"/>
        <v>청빙</v>
      </c>
      <c r="H4804" t="str">
        <f t="shared" si="645"/>
        <v>스토리위즈</v>
      </c>
      <c r="I4804" t="str">
        <f t="shared" si="651"/>
        <v>라스트 서바이버</v>
      </c>
      <c r="J4804">
        <v>0</v>
      </c>
      <c r="K4804">
        <v>0</v>
      </c>
      <c r="L4804">
        <v>0</v>
      </c>
      <c r="M4804">
        <v>5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5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T4804" t="str">
        <f t="shared" si="652"/>
        <v>9791137600119</v>
      </c>
      <c r="AV4804" t="str">
        <f t="shared" si="653"/>
        <v>판타지 웹소설 &gt; 퓨전 판타지</v>
      </c>
    </row>
    <row r="4805" spans="1:48" x14ac:dyDescent="0.4">
      <c r="A4805">
        <v>2313010585</v>
      </c>
      <c r="B4805">
        <v>2313010590</v>
      </c>
      <c r="C4805" t="str">
        <f>T("라스트 서바이버 6화")</f>
        <v>라스트 서바이버 6화</v>
      </c>
      <c r="D4805" t="str">
        <f>T("6")</f>
        <v>6</v>
      </c>
      <c r="E4805" t="str">
        <f t="shared" si="650"/>
        <v>청빙</v>
      </c>
      <c r="H4805" t="str">
        <f t="shared" si="645"/>
        <v>스토리위즈</v>
      </c>
      <c r="I4805" t="str">
        <f t="shared" si="651"/>
        <v>라스트 서바이버</v>
      </c>
      <c r="J4805">
        <v>0</v>
      </c>
      <c r="K4805">
        <v>0</v>
      </c>
      <c r="L4805">
        <v>0</v>
      </c>
      <c r="M4805">
        <v>5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5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T4805" t="str">
        <f t="shared" si="652"/>
        <v>9791137600119</v>
      </c>
      <c r="AV4805" t="str">
        <f t="shared" si="653"/>
        <v>판타지 웹소설 &gt; 퓨전 판타지</v>
      </c>
    </row>
    <row r="4806" spans="1:48" x14ac:dyDescent="0.4">
      <c r="A4806">
        <v>2313010585</v>
      </c>
      <c r="B4806">
        <v>2313010591</v>
      </c>
      <c r="C4806" t="str">
        <f>T("라스트 서바이버 7화")</f>
        <v>라스트 서바이버 7화</v>
      </c>
      <c r="D4806" t="str">
        <f>T("7")</f>
        <v>7</v>
      </c>
      <c r="E4806" t="str">
        <f t="shared" si="650"/>
        <v>청빙</v>
      </c>
      <c r="H4806" t="str">
        <f t="shared" si="645"/>
        <v>스토리위즈</v>
      </c>
      <c r="I4806" t="str">
        <f t="shared" si="651"/>
        <v>라스트 서바이버</v>
      </c>
      <c r="J4806">
        <v>0</v>
      </c>
      <c r="K4806">
        <v>0</v>
      </c>
      <c r="L4806">
        <v>0</v>
      </c>
      <c r="M4806">
        <v>4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4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T4806" t="str">
        <f t="shared" si="652"/>
        <v>9791137600119</v>
      </c>
      <c r="AV4806" t="str">
        <f t="shared" si="653"/>
        <v>판타지 웹소설 &gt; 퓨전 판타지</v>
      </c>
    </row>
    <row r="4807" spans="1:48" x14ac:dyDescent="0.4">
      <c r="A4807">
        <v>2313010585</v>
      </c>
      <c r="B4807">
        <v>2313010592</v>
      </c>
      <c r="C4807" t="str">
        <f>T("라스트 서바이버 8화")</f>
        <v>라스트 서바이버 8화</v>
      </c>
      <c r="D4807" t="str">
        <f>T("8")</f>
        <v>8</v>
      </c>
      <c r="E4807" t="str">
        <f t="shared" si="650"/>
        <v>청빙</v>
      </c>
      <c r="H4807" t="str">
        <f t="shared" si="645"/>
        <v>스토리위즈</v>
      </c>
      <c r="I4807" t="str">
        <f t="shared" si="651"/>
        <v>라스트 서바이버</v>
      </c>
      <c r="J4807">
        <v>0</v>
      </c>
      <c r="K4807">
        <v>0</v>
      </c>
      <c r="L4807">
        <v>0</v>
      </c>
      <c r="M4807">
        <v>4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4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T4807" t="str">
        <f t="shared" si="652"/>
        <v>9791137600119</v>
      </c>
      <c r="AV4807" t="str">
        <f t="shared" si="653"/>
        <v>판타지 웹소설 &gt; 퓨전 판타지</v>
      </c>
    </row>
    <row r="4808" spans="1:48" x14ac:dyDescent="0.4">
      <c r="A4808">
        <v>2313010585</v>
      </c>
      <c r="B4808">
        <v>2313010593</v>
      </c>
      <c r="C4808" t="str">
        <f>T("라스트 서바이버 9화")</f>
        <v>라스트 서바이버 9화</v>
      </c>
      <c r="D4808" t="str">
        <f>T("9")</f>
        <v>9</v>
      </c>
      <c r="E4808" t="str">
        <f t="shared" si="650"/>
        <v>청빙</v>
      </c>
      <c r="H4808" t="str">
        <f t="shared" si="645"/>
        <v>스토리위즈</v>
      </c>
      <c r="I4808" t="str">
        <f t="shared" si="651"/>
        <v>라스트 서바이버</v>
      </c>
      <c r="J4808">
        <v>0</v>
      </c>
      <c r="K4808">
        <v>0</v>
      </c>
      <c r="L4808">
        <v>0</v>
      </c>
      <c r="M4808">
        <v>3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3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T4808" t="str">
        <f t="shared" si="652"/>
        <v>9791137600119</v>
      </c>
      <c r="AV4808" t="str">
        <f t="shared" si="653"/>
        <v>판타지 웹소설 &gt; 퓨전 판타지</v>
      </c>
    </row>
    <row r="4809" spans="1:48" x14ac:dyDescent="0.4">
      <c r="A4809">
        <v>2313010585</v>
      </c>
      <c r="B4809">
        <v>2313010594</v>
      </c>
      <c r="C4809" t="str">
        <f>T("라스트 서바이버 10화")</f>
        <v>라스트 서바이버 10화</v>
      </c>
      <c r="D4809" t="str">
        <f>T("10")</f>
        <v>10</v>
      </c>
      <c r="E4809" t="str">
        <f t="shared" si="650"/>
        <v>청빙</v>
      </c>
      <c r="H4809" t="str">
        <f t="shared" si="645"/>
        <v>스토리위즈</v>
      </c>
      <c r="I4809" t="str">
        <f t="shared" si="651"/>
        <v>라스트 서바이버</v>
      </c>
      <c r="J4809">
        <v>0</v>
      </c>
      <c r="K4809">
        <v>0</v>
      </c>
      <c r="L4809">
        <v>0</v>
      </c>
      <c r="M4809">
        <v>3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3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T4809" t="str">
        <f t="shared" si="652"/>
        <v>9791137600119</v>
      </c>
      <c r="AV4809" t="str">
        <f t="shared" si="653"/>
        <v>판타지 웹소설 &gt; 퓨전 판타지</v>
      </c>
    </row>
    <row r="4810" spans="1:48" x14ac:dyDescent="0.4">
      <c r="A4810">
        <v>2313010585</v>
      </c>
      <c r="B4810">
        <v>2313010595</v>
      </c>
      <c r="C4810" t="str">
        <f>T("라스트 서바이버 11화")</f>
        <v>라스트 서바이버 11화</v>
      </c>
      <c r="D4810" t="str">
        <f>T("11")</f>
        <v>11</v>
      </c>
      <c r="E4810" t="str">
        <f t="shared" si="650"/>
        <v>청빙</v>
      </c>
      <c r="H4810" t="str">
        <f t="shared" si="645"/>
        <v>스토리위즈</v>
      </c>
      <c r="I4810" t="str">
        <f t="shared" si="651"/>
        <v>라스트 서바이버</v>
      </c>
      <c r="J4810">
        <v>0</v>
      </c>
      <c r="K4810">
        <v>0</v>
      </c>
      <c r="L4810">
        <v>0</v>
      </c>
      <c r="M4810">
        <v>3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3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T4810" t="str">
        <f t="shared" si="652"/>
        <v>9791137600119</v>
      </c>
      <c r="AV4810" t="str">
        <f t="shared" si="653"/>
        <v>판타지 웹소설 &gt; 퓨전 판타지</v>
      </c>
    </row>
    <row r="4811" spans="1:48" x14ac:dyDescent="0.4">
      <c r="A4811">
        <v>2313010585</v>
      </c>
      <c r="B4811">
        <v>2313010596</v>
      </c>
      <c r="C4811" t="str">
        <f>T("라스트 서바이버 12화")</f>
        <v>라스트 서바이버 12화</v>
      </c>
      <c r="D4811" t="str">
        <f>T("12")</f>
        <v>12</v>
      </c>
      <c r="E4811" t="str">
        <f t="shared" si="650"/>
        <v>청빙</v>
      </c>
      <c r="H4811" t="str">
        <f t="shared" si="645"/>
        <v>스토리위즈</v>
      </c>
      <c r="I4811" t="str">
        <f t="shared" si="651"/>
        <v>라스트 서바이버</v>
      </c>
      <c r="J4811">
        <v>0</v>
      </c>
      <c r="K4811">
        <v>0</v>
      </c>
      <c r="L4811">
        <v>0</v>
      </c>
      <c r="M4811">
        <v>3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3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T4811" t="str">
        <f t="shared" si="652"/>
        <v>9791137600119</v>
      </c>
      <c r="AV4811" t="str">
        <f t="shared" si="653"/>
        <v>판타지 웹소설 &gt; 퓨전 판타지</v>
      </c>
    </row>
    <row r="4812" spans="1:48" x14ac:dyDescent="0.4">
      <c r="A4812">
        <v>2313010585</v>
      </c>
      <c r="B4812">
        <v>2313010597</v>
      </c>
      <c r="C4812" t="str">
        <f>T("라스트 서바이버 13화")</f>
        <v>라스트 서바이버 13화</v>
      </c>
      <c r="D4812" t="str">
        <f>T("13")</f>
        <v>13</v>
      </c>
      <c r="E4812" t="str">
        <f t="shared" si="650"/>
        <v>청빙</v>
      </c>
      <c r="H4812" t="str">
        <f t="shared" si="645"/>
        <v>스토리위즈</v>
      </c>
      <c r="I4812" t="str">
        <f t="shared" si="651"/>
        <v>라스트 서바이버</v>
      </c>
      <c r="J4812">
        <v>0</v>
      </c>
      <c r="K4812">
        <v>0</v>
      </c>
      <c r="L4812">
        <v>0</v>
      </c>
      <c r="M4812">
        <v>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3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T4812" t="str">
        <f t="shared" si="652"/>
        <v>9791137600119</v>
      </c>
      <c r="AV4812" t="str">
        <f t="shared" si="653"/>
        <v>판타지 웹소설 &gt; 퓨전 판타지</v>
      </c>
    </row>
    <row r="4813" spans="1:48" x14ac:dyDescent="0.4">
      <c r="A4813">
        <v>2313010585</v>
      </c>
      <c r="B4813">
        <v>2313010598</v>
      </c>
      <c r="C4813" t="str">
        <f>T("라스트 서바이버 14화")</f>
        <v>라스트 서바이버 14화</v>
      </c>
      <c r="D4813" t="str">
        <f>T("14")</f>
        <v>14</v>
      </c>
      <c r="E4813" t="str">
        <f t="shared" si="650"/>
        <v>청빙</v>
      </c>
      <c r="H4813" t="str">
        <f t="shared" si="645"/>
        <v>스토리위즈</v>
      </c>
      <c r="I4813" t="str">
        <f t="shared" si="651"/>
        <v>라스트 서바이버</v>
      </c>
      <c r="J4813">
        <v>0</v>
      </c>
      <c r="K4813">
        <v>0</v>
      </c>
      <c r="L4813">
        <v>0</v>
      </c>
      <c r="M4813">
        <v>3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3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T4813" t="str">
        <f t="shared" si="652"/>
        <v>9791137600119</v>
      </c>
      <c r="AV4813" t="str">
        <f t="shared" si="653"/>
        <v>판타지 웹소설 &gt; 퓨전 판타지</v>
      </c>
    </row>
    <row r="4814" spans="1:48" x14ac:dyDescent="0.4">
      <c r="A4814">
        <v>2313010585</v>
      </c>
      <c r="B4814">
        <v>2313010599</v>
      </c>
      <c r="C4814" t="str">
        <f>T("라스트 서바이버 15화")</f>
        <v>라스트 서바이버 15화</v>
      </c>
      <c r="D4814" t="str">
        <f>T("15")</f>
        <v>15</v>
      </c>
      <c r="E4814" t="str">
        <f t="shared" si="650"/>
        <v>청빙</v>
      </c>
      <c r="H4814" t="str">
        <f t="shared" si="645"/>
        <v>스토리위즈</v>
      </c>
      <c r="I4814" t="str">
        <f t="shared" si="651"/>
        <v>라스트 서바이버</v>
      </c>
      <c r="J4814">
        <v>0</v>
      </c>
      <c r="K4814">
        <v>0</v>
      </c>
      <c r="L4814">
        <v>0</v>
      </c>
      <c r="M4814">
        <v>3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3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T4814" t="str">
        <f t="shared" si="652"/>
        <v>9791137600119</v>
      </c>
      <c r="AV4814" t="str">
        <f t="shared" si="653"/>
        <v>판타지 웹소설 &gt; 퓨전 판타지</v>
      </c>
    </row>
    <row r="4815" spans="1:48" x14ac:dyDescent="0.4">
      <c r="A4815">
        <v>2313010585</v>
      </c>
      <c r="B4815">
        <v>2313010600</v>
      </c>
      <c r="C4815" t="str">
        <f>T("라스트 서바이버 16화")</f>
        <v>라스트 서바이버 16화</v>
      </c>
      <c r="D4815" t="str">
        <f>T("16")</f>
        <v>16</v>
      </c>
      <c r="E4815" t="str">
        <f t="shared" si="650"/>
        <v>청빙</v>
      </c>
      <c r="H4815" t="str">
        <f t="shared" si="645"/>
        <v>스토리위즈</v>
      </c>
      <c r="I4815" t="str">
        <f t="shared" si="651"/>
        <v>라스트 서바이버</v>
      </c>
      <c r="J4815">
        <v>0</v>
      </c>
      <c r="K4815">
        <v>0</v>
      </c>
      <c r="L4815">
        <v>0</v>
      </c>
      <c r="M4815">
        <v>3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3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T4815" t="str">
        <f t="shared" si="652"/>
        <v>9791137600119</v>
      </c>
      <c r="AV4815" t="str">
        <f t="shared" si="653"/>
        <v>판타지 웹소설 &gt; 퓨전 판타지</v>
      </c>
    </row>
    <row r="4816" spans="1:48" x14ac:dyDescent="0.4">
      <c r="A4816">
        <v>2313010585</v>
      </c>
      <c r="B4816">
        <v>2313010601</v>
      </c>
      <c r="C4816" t="str">
        <f>T("라스트 서바이버 17화")</f>
        <v>라스트 서바이버 17화</v>
      </c>
      <c r="D4816" t="str">
        <f>T("17")</f>
        <v>17</v>
      </c>
      <c r="E4816" t="str">
        <f t="shared" si="650"/>
        <v>청빙</v>
      </c>
      <c r="H4816" t="str">
        <f t="shared" si="645"/>
        <v>스토리위즈</v>
      </c>
      <c r="I4816" t="str">
        <f t="shared" si="651"/>
        <v>라스트 서바이버</v>
      </c>
      <c r="J4816">
        <v>0</v>
      </c>
      <c r="K4816">
        <v>0</v>
      </c>
      <c r="L4816">
        <v>0</v>
      </c>
      <c r="M4816">
        <v>3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3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T4816" t="str">
        <f t="shared" si="652"/>
        <v>9791137600119</v>
      </c>
      <c r="AV4816" t="str">
        <f t="shared" si="653"/>
        <v>판타지 웹소설 &gt; 퓨전 판타지</v>
      </c>
    </row>
    <row r="4817" spans="1:48" x14ac:dyDescent="0.4">
      <c r="A4817">
        <v>2313010585</v>
      </c>
      <c r="B4817">
        <v>2313010602</v>
      </c>
      <c r="C4817" t="str">
        <f>T("라스트 서바이버 18화")</f>
        <v>라스트 서바이버 18화</v>
      </c>
      <c r="D4817" t="str">
        <f>T("18")</f>
        <v>18</v>
      </c>
      <c r="E4817" t="str">
        <f t="shared" si="650"/>
        <v>청빙</v>
      </c>
      <c r="H4817" t="str">
        <f t="shared" si="645"/>
        <v>스토리위즈</v>
      </c>
      <c r="I4817" t="str">
        <f t="shared" si="651"/>
        <v>라스트 서바이버</v>
      </c>
      <c r="J4817">
        <v>0</v>
      </c>
      <c r="K4817">
        <v>0</v>
      </c>
      <c r="L4817">
        <v>0</v>
      </c>
      <c r="M4817">
        <v>3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3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T4817" t="str">
        <f t="shared" si="652"/>
        <v>9791137600119</v>
      </c>
      <c r="AV4817" t="str">
        <f t="shared" si="653"/>
        <v>판타지 웹소설 &gt; 퓨전 판타지</v>
      </c>
    </row>
    <row r="4818" spans="1:48" x14ac:dyDescent="0.4">
      <c r="A4818">
        <v>2313010585</v>
      </c>
      <c r="B4818">
        <v>2313010603</v>
      </c>
      <c r="C4818" t="str">
        <f>T("라스트 서바이버 19화")</f>
        <v>라스트 서바이버 19화</v>
      </c>
      <c r="D4818" t="str">
        <f>T("19")</f>
        <v>19</v>
      </c>
      <c r="E4818" t="str">
        <f t="shared" si="650"/>
        <v>청빙</v>
      </c>
      <c r="H4818" t="str">
        <f t="shared" si="645"/>
        <v>스토리위즈</v>
      </c>
      <c r="I4818" t="str">
        <f t="shared" si="651"/>
        <v>라스트 서바이버</v>
      </c>
      <c r="J4818">
        <v>0</v>
      </c>
      <c r="K4818">
        <v>0</v>
      </c>
      <c r="L4818">
        <v>0</v>
      </c>
      <c r="M4818">
        <v>3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3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T4818" t="str">
        <f t="shared" si="652"/>
        <v>9791137600119</v>
      </c>
      <c r="AV4818" t="str">
        <f t="shared" si="653"/>
        <v>판타지 웹소설 &gt; 퓨전 판타지</v>
      </c>
    </row>
    <row r="4819" spans="1:48" x14ac:dyDescent="0.4">
      <c r="A4819">
        <v>2313010585</v>
      </c>
      <c r="B4819">
        <v>2313010604</v>
      </c>
      <c r="C4819" t="str">
        <f>T("라스트 서바이버 20화")</f>
        <v>라스트 서바이버 20화</v>
      </c>
      <c r="D4819" t="str">
        <f>T("20")</f>
        <v>20</v>
      </c>
      <c r="E4819" t="str">
        <f t="shared" si="650"/>
        <v>청빙</v>
      </c>
      <c r="H4819" t="str">
        <f t="shared" si="645"/>
        <v>스토리위즈</v>
      </c>
      <c r="I4819" t="str">
        <f t="shared" si="651"/>
        <v>라스트 서바이버</v>
      </c>
      <c r="J4819">
        <v>0</v>
      </c>
      <c r="K4819">
        <v>0</v>
      </c>
      <c r="L4819">
        <v>0</v>
      </c>
      <c r="M4819">
        <v>3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3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T4819" t="str">
        <f t="shared" si="652"/>
        <v>9791137600119</v>
      </c>
      <c r="AV4819" t="str">
        <f t="shared" si="653"/>
        <v>판타지 웹소설 &gt; 퓨전 판타지</v>
      </c>
    </row>
    <row r="4820" spans="1:48" x14ac:dyDescent="0.4">
      <c r="A4820">
        <v>2313010585</v>
      </c>
      <c r="B4820">
        <v>2313010605</v>
      </c>
      <c r="C4820" t="str">
        <f>T("라스트 서바이버 21화")</f>
        <v>라스트 서바이버 21화</v>
      </c>
      <c r="D4820" t="str">
        <f>T("21")</f>
        <v>21</v>
      </c>
      <c r="E4820" t="str">
        <f t="shared" si="650"/>
        <v>청빙</v>
      </c>
      <c r="H4820" t="str">
        <f t="shared" si="645"/>
        <v>스토리위즈</v>
      </c>
      <c r="I4820" t="str">
        <f t="shared" si="651"/>
        <v>라스트 서바이버</v>
      </c>
      <c r="J4820">
        <v>0</v>
      </c>
      <c r="K4820">
        <v>0</v>
      </c>
      <c r="L4820">
        <v>0</v>
      </c>
      <c r="M4820">
        <v>3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3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T4820" t="str">
        <f t="shared" si="652"/>
        <v>9791137600119</v>
      </c>
      <c r="AV4820" t="str">
        <f t="shared" si="653"/>
        <v>판타지 웹소설 &gt; 퓨전 판타지</v>
      </c>
    </row>
    <row r="4821" spans="1:48" x14ac:dyDescent="0.4">
      <c r="A4821">
        <v>2313010585</v>
      </c>
      <c r="B4821">
        <v>2313010606</v>
      </c>
      <c r="C4821" t="str">
        <f>T("라스트 서바이버 22화")</f>
        <v>라스트 서바이버 22화</v>
      </c>
      <c r="D4821" t="str">
        <f>T("22")</f>
        <v>22</v>
      </c>
      <c r="E4821" t="str">
        <f t="shared" si="650"/>
        <v>청빙</v>
      </c>
      <c r="H4821" t="str">
        <f t="shared" si="645"/>
        <v>스토리위즈</v>
      </c>
      <c r="I4821" t="str">
        <f t="shared" si="651"/>
        <v>라스트 서바이버</v>
      </c>
      <c r="J4821">
        <v>0</v>
      </c>
      <c r="K4821">
        <v>0</v>
      </c>
      <c r="L4821">
        <v>0</v>
      </c>
      <c r="M4821">
        <v>3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3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T4821" t="str">
        <f t="shared" si="652"/>
        <v>9791137600119</v>
      </c>
      <c r="AV4821" t="str">
        <f t="shared" si="653"/>
        <v>판타지 웹소설 &gt; 퓨전 판타지</v>
      </c>
    </row>
    <row r="4822" spans="1:48" x14ac:dyDescent="0.4">
      <c r="A4822">
        <v>2313010585</v>
      </c>
      <c r="B4822">
        <v>2313010607</v>
      </c>
      <c r="C4822" t="str">
        <f>T("라스트 서바이버 23화")</f>
        <v>라스트 서바이버 23화</v>
      </c>
      <c r="D4822" t="str">
        <f>T("23")</f>
        <v>23</v>
      </c>
      <c r="E4822" t="str">
        <f t="shared" si="650"/>
        <v>청빙</v>
      </c>
      <c r="H4822" t="str">
        <f t="shared" si="645"/>
        <v>스토리위즈</v>
      </c>
      <c r="I4822" t="str">
        <f t="shared" si="651"/>
        <v>라스트 서바이버</v>
      </c>
      <c r="J4822">
        <v>0</v>
      </c>
      <c r="K4822">
        <v>0</v>
      </c>
      <c r="L4822">
        <v>0</v>
      </c>
      <c r="M4822">
        <v>3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3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T4822" t="str">
        <f t="shared" si="652"/>
        <v>9791137600119</v>
      </c>
      <c r="AV4822" t="str">
        <f t="shared" si="653"/>
        <v>판타지 웹소설 &gt; 퓨전 판타지</v>
      </c>
    </row>
    <row r="4823" spans="1:48" x14ac:dyDescent="0.4">
      <c r="A4823">
        <v>2313010585</v>
      </c>
      <c r="B4823">
        <v>2313010608</v>
      </c>
      <c r="C4823" t="str">
        <f>T("라스트 서바이버 24화")</f>
        <v>라스트 서바이버 24화</v>
      </c>
      <c r="D4823" t="str">
        <f>T("24")</f>
        <v>24</v>
      </c>
      <c r="E4823" t="str">
        <f t="shared" si="650"/>
        <v>청빙</v>
      </c>
      <c r="H4823" t="str">
        <f t="shared" si="645"/>
        <v>스토리위즈</v>
      </c>
      <c r="I4823" t="str">
        <f t="shared" si="651"/>
        <v>라스트 서바이버</v>
      </c>
      <c r="J4823">
        <v>0</v>
      </c>
      <c r="K4823">
        <v>0</v>
      </c>
      <c r="L4823">
        <v>0</v>
      </c>
      <c r="M4823">
        <v>3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3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T4823" t="str">
        <f t="shared" si="652"/>
        <v>9791137600119</v>
      </c>
      <c r="AV4823" t="str">
        <f t="shared" si="653"/>
        <v>판타지 웹소설 &gt; 퓨전 판타지</v>
      </c>
    </row>
    <row r="4824" spans="1:48" x14ac:dyDescent="0.4">
      <c r="A4824">
        <v>2313010585</v>
      </c>
      <c r="B4824">
        <v>2313010609</v>
      </c>
      <c r="C4824" t="str">
        <f>T("라스트 서바이버 25화")</f>
        <v>라스트 서바이버 25화</v>
      </c>
      <c r="D4824" t="str">
        <f>T("25")</f>
        <v>25</v>
      </c>
      <c r="E4824" t="str">
        <f t="shared" si="650"/>
        <v>청빙</v>
      </c>
      <c r="H4824" t="str">
        <f t="shared" si="645"/>
        <v>스토리위즈</v>
      </c>
      <c r="I4824" t="str">
        <f t="shared" si="651"/>
        <v>라스트 서바이버</v>
      </c>
      <c r="J4824">
        <v>0</v>
      </c>
      <c r="K4824">
        <v>0</v>
      </c>
      <c r="L4824">
        <v>0</v>
      </c>
      <c r="M4824">
        <v>5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5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T4824" t="str">
        <f t="shared" si="652"/>
        <v>9791137600119</v>
      </c>
      <c r="AV4824" t="str">
        <f t="shared" si="653"/>
        <v>판타지 웹소설 &gt; 퓨전 판타지</v>
      </c>
    </row>
    <row r="4825" spans="1:48" x14ac:dyDescent="0.4">
      <c r="A4825">
        <v>2313010585</v>
      </c>
      <c r="B4825">
        <v>2313010610</v>
      </c>
      <c r="C4825" t="str">
        <f>T("라스트 서바이버 26화")</f>
        <v>라스트 서바이버 26화</v>
      </c>
      <c r="D4825" t="str">
        <f>T("26")</f>
        <v>26</v>
      </c>
      <c r="E4825" t="str">
        <f t="shared" si="650"/>
        <v>청빙</v>
      </c>
      <c r="H4825" t="str">
        <f t="shared" si="645"/>
        <v>스토리위즈</v>
      </c>
      <c r="I4825" t="str">
        <f t="shared" si="651"/>
        <v>라스트 서바이버</v>
      </c>
      <c r="J4825">
        <v>0</v>
      </c>
      <c r="K4825">
        <v>0</v>
      </c>
      <c r="L4825">
        <v>0</v>
      </c>
      <c r="M4825">
        <v>5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5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T4825" t="str">
        <f t="shared" si="652"/>
        <v>9791137600119</v>
      </c>
      <c r="AV4825" t="str">
        <f t="shared" si="653"/>
        <v>판타지 웹소설 &gt; 퓨전 판타지</v>
      </c>
    </row>
    <row r="4826" spans="1:48" x14ac:dyDescent="0.4">
      <c r="A4826">
        <v>2313010585</v>
      </c>
      <c r="B4826">
        <v>2313010910</v>
      </c>
      <c r="C4826" t="str">
        <f>T("라스트 서바이버 326화 (완결)")</f>
        <v>라스트 서바이버 326화 (완결)</v>
      </c>
      <c r="D4826" t="str">
        <f>T("326")</f>
        <v>326</v>
      </c>
      <c r="E4826" t="str">
        <f t="shared" si="650"/>
        <v>청빙</v>
      </c>
      <c r="H4826" t="str">
        <f t="shared" si="645"/>
        <v>스토리위즈</v>
      </c>
      <c r="I4826" t="str">
        <f t="shared" si="651"/>
        <v>라스트 서바이버</v>
      </c>
      <c r="J4826">
        <v>100</v>
      </c>
      <c r="K4826">
        <v>0</v>
      </c>
      <c r="L4826">
        <v>0</v>
      </c>
      <c r="M4826">
        <v>0</v>
      </c>
      <c r="N4826">
        <v>200</v>
      </c>
      <c r="O4826">
        <v>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200</v>
      </c>
      <c r="AH4826">
        <v>2</v>
      </c>
      <c r="AI4826">
        <v>0</v>
      </c>
      <c r="AJ4826">
        <v>0</v>
      </c>
      <c r="AK4826">
        <v>200</v>
      </c>
      <c r="AL4826">
        <v>0</v>
      </c>
      <c r="AM4826">
        <v>0</v>
      </c>
      <c r="AN4826">
        <v>0</v>
      </c>
      <c r="AO4826">
        <v>0</v>
      </c>
      <c r="AP4826">
        <v>140</v>
      </c>
      <c r="AT4826" t="str">
        <f t="shared" si="652"/>
        <v>9791137600119</v>
      </c>
      <c r="AV4826" t="str">
        <f t="shared" si="653"/>
        <v>판타지 웹소설 &gt; 퓨전 판타지</v>
      </c>
    </row>
    <row r="4827" spans="1:48" x14ac:dyDescent="0.4">
      <c r="A4827">
        <v>2313010911</v>
      </c>
      <c r="B4827">
        <v>2313010911</v>
      </c>
      <c r="C4827" t="str">
        <f>T("문답무용 - 삼국지 유비의 모사가 되었다 1화")</f>
        <v>문답무용 - 삼국지 유비의 모사가 되었다 1화</v>
      </c>
      <c r="D4827" t="str">
        <f>T("1")</f>
        <v>1</v>
      </c>
      <c r="E4827" t="str">
        <f t="shared" si="650"/>
        <v>청빙</v>
      </c>
      <c r="H4827" t="str">
        <f t="shared" si="645"/>
        <v>스토리위즈</v>
      </c>
      <c r="I4827" t="str">
        <f>T("문답무용 - 삼국지 유비의 모사가 되었다")</f>
        <v>문답무용 - 삼국지 유비의 모사가 되었다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T4827" t="str">
        <f>T("9791166069475")</f>
        <v>9791166069475</v>
      </c>
      <c r="AV4827" t="str">
        <f t="shared" si="653"/>
        <v>판타지 웹소설 &gt; 퓨전 판타지</v>
      </c>
    </row>
    <row r="4828" spans="1:48" x14ac:dyDescent="0.4">
      <c r="A4828">
        <v>2313011156</v>
      </c>
      <c r="B4828">
        <v>2313011156</v>
      </c>
      <c r="C4828" t="str">
        <f>T("마신부활 1화")</f>
        <v>마신부활 1화</v>
      </c>
      <c r="D4828" t="str">
        <f>T("1")</f>
        <v>1</v>
      </c>
      <c r="E4828" t="str">
        <f>T("만렙도끼")</f>
        <v>만렙도끼</v>
      </c>
      <c r="H4828" t="str">
        <f t="shared" si="645"/>
        <v>스토리위즈</v>
      </c>
      <c r="I4828" t="str">
        <f>T("마신부활")</f>
        <v>마신부활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T4828" t="str">
        <f>T("9791166061318")</f>
        <v>9791166061318</v>
      </c>
      <c r="AV4828" t="str">
        <f>T("판타지 웹소설 &gt; 무협 소설")</f>
        <v>판타지 웹소설 &gt; 무협 소설</v>
      </c>
    </row>
    <row r="4829" spans="1:48" x14ac:dyDescent="0.4">
      <c r="A4829">
        <v>2313011156</v>
      </c>
      <c r="B4829">
        <v>2313011157</v>
      </c>
      <c r="C4829" t="str">
        <f>T("마신부활 2화")</f>
        <v>마신부활 2화</v>
      </c>
      <c r="D4829" t="str">
        <f>T("2")</f>
        <v>2</v>
      </c>
      <c r="E4829" t="str">
        <f>T("만렙도끼")</f>
        <v>만렙도끼</v>
      </c>
      <c r="H4829" t="str">
        <f t="shared" si="645"/>
        <v>스토리위즈</v>
      </c>
      <c r="I4829" t="str">
        <f>T("마신부활")</f>
        <v>마신부활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T4829" t="str">
        <f>T("9791166061318")</f>
        <v>9791166061318</v>
      </c>
      <c r="AV4829" t="str">
        <f>T("판타지 웹소설 &gt; 무협 소설")</f>
        <v>판타지 웹소설 &gt; 무협 소설</v>
      </c>
    </row>
    <row r="4830" spans="1:48" x14ac:dyDescent="0.4">
      <c r="A4830">
        <v>2313011372</v>
      </c>
      <c r="B4830">
        <v>2313011372</v>
      </c>
      <c r="C4830" t="str">
        <f>T("[e북]라스트 서바이버 : 진화로 살아남아라! 1권")</f>
        <v>[e북]라스트 서바이버 : 진화로 살아남아라! 1권</v>
      </c>
      <c r="D4830" t="str">
        <f>T("1")</f>
        <v>1</v>
      </c>
      <c r="E4830" t="str">
        <f>T("청빙")</f>
        <v>청빙</v>
      </c>
      <c r="H4830" t="str">
        <f t="shared" si="645"/>
        <v>스토리위즈</v>
      </c>
      <c r="I4830" t="str">
        <f>T("[e북]라스트 서바이버 : 진화로 살아남아라!")</f>
        <v>[e북]라스트 서바이버 : 진화로 살아남아라!</v>
      </c>
      <c r="J4830">
        <v>0</v>
      </c>
      <c r="K4830">
        <v>0</v>
      </c>
      <c r="L4830">
        <v>0</v>
      </c>
      <c r="M4830">
        <v>5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5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T4830" t="str">
        <f>T("9791137600546")</f>
        <v>9791137600546</v>
      </c>
      <c r="AV4830" t="str">
        <f>T("판타지 e북 &gt; 퓨전 판타지")</f>
        <v>판타지 e북 &gt; 퓨전 판타지</v>
      </c>
    </row>
    <row r="4831" spans="1:48" x14ac:dyDescent="0.4">
      <c r="A4831">
        <v>2313011386</v>
      </c>
      <c r="B4831">
        <v>2313011386</v>
      </c>
      <c r="C4831" t="str">
        <f>T("[e북]문답무용 - 삼국지 유비의 모사가 되었다 1권")</f>
        <v>[e북]문답무용 - 삼국지 유비의 모사가 되었다 1권</v>
      </c>
      <c r="D4831" t="str">
        <f>T("1")</f>
        <v>1</v>
      </c>
      <c r="E4831" t="str">
        <f>T("청빙")</f>
        <v>청빙</v>
      </c>
      <c r="H4831" t="str">
        <f t="shared" ref="H4831:H4894" si="654">T("스토리위즈")</f>
        <v>스토리위즈</v>
      </c>
      <c r="I4831" t="str">
        <f>T("[e북]문답무용 - 삼국지 유비의 모사가 되었다")</f>
        <v>[e북]문답무용 - 삼국지 유비의 모사가 되었다</v>
      </c>
      <c r="J4831">
        <v>0</v>
      </c>
      <c r="K4831">
        <v>0</v>
      </c>
      <c r="L4831">
        <v>0</v>
      </c>
      <c r="M4831">
        <v>5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5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T4831" t="str">
        <f>T("9791166069932")</f>
        <v>9791166069932</v>
      </c>
      <c r="AV4831" t="str">
        <f>T("판타지 e북 &gt; 퓨전 판타지")</f>
        <v>판타지 e북 &gt; 퓨전 판타지</v>
      </c>
    </row>
    <row r="4832" spans="1:48" x14ac:dyDescent="0.4">
      <c r="A4832">
        <v>2313011400</v>
      </c>
      <c r="B4832">
        <v>2313011400</v>
      </c>
      <c r="C4832" t="str">
        <f>T("최종 보스 1권 1화")</f>
        <v>최종 보스 1권 1화</v>
      </c>
      <c r="D4832" t="str">
        <f>T("1")</f>
        <v>1</v>
      </c>
      <c r="E4832" t="str">
        <f t="shared" ref="E4832:E4853" si="655">T("무장")</f>
        <v>무장</v>
      </c>
      <c r="H4832" t="str">
        <f t="shared" si="654"/>
        <v>스토리위즈</v>
      </c>
      <c r="I4832" t="str">
        <f t="shared" ref="I4832:I4853" si="656">T("최종 보스 : 빛을 향해 달리는 그림자")</f>
        <v>최종 보스 : 빛을 향해 달리는 그림자</v>
      </c>
      <c r="J4832">
        <v>0</v>
      </c>
      <c r="K4832">
        <v>0</v>
      </c>
      <c r="L4832">
        <v>0</v>
      </c>
      <c r="M4832">
        <v>14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14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T4832" t="str">
        <f t="shared" ref="AT4832:AT4853" si="657">T("9791166067563")</f>
        <v>9791166067563</v>
      </c>
      <c r="AV4832" t="str">
        <f t="shared" ref="AV4832:AV4853" si="658">T("판타지 웹소설 &gt; 현대 판타지")</f>
        <v>판타지 웹소설 &gt; 현대 판타지</v>
      </c>
    </row>
    <row r="4833" spans="1:48" x14ac:dyDescent="0.4">
      <c r="A4833">
        <v>2313011400</v>
      </c>
      <c r="B4833">
        <v>2313011401</v>
      </c>
      <c r="C4833" t="str">
        <f>T("최종 보스 1권 2화")</f>
        <v>최종 보스 1권 2화</v>
      </c>
      <c r="D4833" t="str">
        <f>T("2")</f>
        <v>2</v>
      </c>
      <c r="E4833" t="str">
        <f t="shared" si="655"/>
        <v>무장</v>
      </c>
      <c r="H4833" t="str">
        <f t="shared" si="654"/>
        <v>스토리위즈</v>
      </c>
      <c r="I4833" t="str">
        <f t="shared" si="656"/>
        <v>최종 보스 : 빛을 향해 달리는 그림자</v>
      </c>
      <c r="J4833">
        <v>0</v>
      </c>
      <c r="K4833">
        <v>0</v>
      </c>
      <c r="L4833">
        <v>0</v>
      </c>
      <c r="M4833">
        <v>11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11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T4833" t="str">
        <f t="shared" si="657"/>
        <v>9791166067563</v>
      </c>
      <c r="AV4833" t="str">
        <f t="shared" si="658"/>
        <v>판타지 웹소설 &gt; 현대 판타지</v>
      </c>
    </row>
    <row r="4834" spans="1:48" x14ac:dyDescent="0.4">
      <c r="A4834">
        <v>2313011400</v>
      </c>
      <c r="B4834">
        <v>2313011402</v>
      </c>
      <c r="C4834" t="str">
        <f>T("최종 보스 1권 3화")</f>
        <v>최종 보스 1권 3화</v>
      </c>
      <c r="D4834" t="str">
        <f>T("3")</f>
        <v>3</v>
      </c>
      <c r="E4834" t="str">
        <f t="shared" si="655"/>
        <v>무장</v>
      </c>
      <c r="H4834" t="str">
        <f t="shared" si="654"/>
        <v>스토리위즈</v>
      </c>
      <c r="I4834" t="str">
        <f t="shared" si="656"/>
        <v>최종 보스 : 빛을 향해 달리는 그림자</v>
      </c>
      <c r="J4834">
        <v>0</v>
      </c>
      <c r="K4834">
        <v>0</v>
      </c>
      <c r="L4834">
        <v>0</v>
      </c>
      <c r="M4834">
        <v>10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T4834" t="str">
        <f t="shared" si="657"/>
        <v>9791166067563</v>
      </c>
      <c r="AV4834" t="str">
        <f t="shared" si="658"/>
        <v>판타지 웹소설 &gt; 현대 판타지</v>
      </c>
    </row>
    <row r="4835" spans="1:48" x14ac:dyDescent="0.4">
      <c r="A4835">
        <v>2313011400</v>
      </c>
      <c r="B4835">
        <v>2313011403</v>
      </c>
      <c r="C4835" t="str">
        <f>T("최종 보스 1권 4화")</f>
        <v>최종 보스 1권 4화</v>
      </c>
      <c r="D4835" t="str">
        <f>T("4")</f>
        <v>4</v>
      </c>
      <c r="E4835" t="str">
        <f t="shared" si="655"/>
        <v>무장</v>
      </c>
      <c r="H4835" t="str">
        <f t="shared" si="654"/>
        <v>스토리위즈</v>
      </c>
      <c r="I4835" t="str">
        <f t="shared" si="656"/>
        <v>최종 보스 : 빛을 향해 달리는 그림자</v>
      </c>
      <c r="J4835">
        <v>0</v>
      </c>
      <c r="K4835">
        <v>0</v>
      </c>
      <c r="L4835">
        <v>0</v>
      </c>
      <c r="M4835">
        <v>10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T4835" t="str">
        <f t="shared" si="657"/>
        <v>9791166067563</v>
      </c>
      <c r="AV4835" t="str">
        <f t="shared" si="658"/>
        <v>판타지 웹소설 &gt; 현대 판타지</v>
      </c>
    </row>
    <row r="4836" spans="1:48" x14ac:dyDescent="0.4">
      <c r="A4836">
        <v>2313011400</v>
      </c>
      <c r="B4836">
        <v>2313011404</v>
      </c>
      <c r="C4836" t="str">
        <f>T("최종 보스 1권 5화")</f>
        <v>최종 보스 1권 5화</v>
      </c>
      <c r="D4836" t="str">
        <f>T("5")</f>
        <v>5</v>
      </c>
      <c r="E4836" t="str">
        <f t="shared" si="655"/>
        <v>무장</v>
      </c>
      <c r="H4836" t="str">
        <f t="shared" si="654"/>
        <v>스토리위즈</v>
      </c>
      <c r="I4836" t="str">
        <f t="shared" si="656"/>
        <v>최종 보스 : 빛을 향해 달리는 그림자</v>
      </c>
      <c r="J4836">
        <v>0</v>
      </c>
      <c r="K4836">
        <v>0</v>
      </c>
      <c r="L4836">
        <v>0</v>
      </c>
      <c r="M4836">
        <v>9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9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T4836" t="str">
        <f t="shared" si="657"/>
        <v>9791166067563</v>
      </c>
      <c r="AV4836" t="str">
        <f t="shared" si="658"/>
        <v>판타지 웹소설 &gt; 현대 판타지</v>
      </c>
    </row>
    <row r="4837" spans="1:48" x14ac:dyDescent="0.4">
      <c r="A4837">
        <v>2313011400</v>
      </c>
      <c r="B4837">
        <v>2313011405</v>
      </c>
      <c r="C4837" t="str">
        <f>T("최종 보스 1권 6화")</f>
        <v>최종 보스 1권 6화</v>
      </c>
      <c r="D4837" t="str">
        <f>T("6")</f>
        <v>6</v>
      </c>
      <c r="E4837" t="str">
        <f t="shared" si="655"/>
        <v>무장</v>
      </c>
      <c r="H4837" t="str">
        <f t="shared" si="654"/>
        <v>스토리위즈</v>
      </c>
      <c r="I4837" t="str">
        <f t="shared" si="656"/>
        <v>최종 보스 : 빛을 향해 달리는 그림자</v>
      </c>
      <c r="J4837">
        <v>0</v>
      </c>
      <c r="K4837">
        <v>0</v>
      </c>
      <c r="L4837">
        <v>0</v>
      </c>
      <c r="M4837">
        <v>10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T4837" t="str">
        <f t="shared" si="657"/>
        <v>9791166067563</v>
      </c>
      <c r="AV4837" t="str">
        <f t="shared" si="658"/>
        <v>판타지 웹소설 &gt; 현대 판타지</v>
      </c>
    </row>
    <row r="4838" spans="1:48" x14ac:dyDescent="0.4">
      <c r="A4838">
        <v>2313011400</v>
      </c>
      <c r="B4838">
        <v>2313011406</v>
      </c>
      <c r="C4838" t="str">
        <f>T("최종 보스 1권 7화")</f>
        <v>최종 보스 1권 7화</v>
      </c>
      <c r="D4838" t="str">
        <f>T("7")</f>
        <v>7</v>
      </c>
      <c r="E4838" t="str">
        <f t="shared" si="655"/>
        <v>무장</v>
      </c>
      <c r="H4838" t="str">
        <f t="shared" si="654"/>
        <v>스토리위즈</v>
      </c>
      <c r="I4838" t="str">
        <f t="shared" si="656"/>
        <v>최종 보스 : 빛을 향해 달리는 그림자</v>
      </c>
      <c r="J4838">
        <v>0</v>
      </c>
      <c r="K4838">
        <v>0</v>
      </c>
      <c r="L4838">
        <v>0</v>
      </c>
      <c r="M4838">
        <v>10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T4838" t="str">
        <f t="shared" si="657"/>
        <v>9791166067563</v>
      </c>
      <c r="AV4838" t="str">
        <f t="shared" si="658"/>
        <v>판타지 웹소설 &gt; 현대 판타지</v>
      </c>
    </row>
    <row r="4839" spans="1:48" x14ac:dyDescent="0.4">
      <c r="A4839">
        <v>2313011400</v>
      </c>
      <c r="B4839">
        <v>2313011407</v>
      </c>
      <c r="C4839" t="str">
        <f>T("최종 보스 1권 8화")</f>
        <v>최종 보스 1권 8화</v>
      </c>
      <c r="D4839" t="str">
        <f>T("8")</f>
        <v>8</v>
      </c>
      <c r="E4839" t="str">
        <f t="shared" si="655"/>
        <v>무장</v>
      </c>
      <c r="H4839" t="str">
        <f t="shared" si="654"/>
        <v>스토리위즈</v>
      </c>
      <c r="I4839" t="str">
        <f t="shared" si="656"/>
        <v>최종 보스 : 빛을 향해 달리는 그림자</v>
      </c>
      <c r="J4839">
        <v>0</v>
      </c>
      <c r="K4839">
        <v>0</v>
      </c>
      <c r="L4839">
        <v>0</v>
      </c>
      <c r="M4839">
        <v>10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T4839" t="str">
        <f t="shared" si="657"/>
        <v>9791166067563</v>
      </c>
      <c r="AV4839" t="str">
        <f t="shared" si="658"/>
        <v>판타지 웹소설 &gt; 현대 판타지</v>
      </c>
    </row>
    <row r="4840" spans="1:48" x14ac:dyDescent="0.4">
      <c r="A4840">
        <v>2313011400</v>
      </c>
      <c r="B4840">
        <v>2313011408</v>
      </c>
      <c r="C4840" t="str">
        <f>T("최종 보스 1권 9화")</f>
        <v>최종 보스 1권 9화</v>
      </c>
      <c r="D4840" t="str">
        <f>T("9")</f>
        <v>9</v>
      </c>
      <c r="E4840" t="str">
        <f t="shared" si="655"/>
        <v>무장</v>
      </c>
      <c r="H4840" t="str">
        <f t="shared" si="654"/>
        <v>스토리위즈</v>
      </c>
      <c r="I4840" t="str">
        <f t="shared" si="656"/>
        <v>최종 보스 : 빛을 향해 달리는 그림자</v>
      </c>
      <c r="J4840">
        <v>0</v>
      </c>
      <c r="K4840">
        <v>0</v>
      </c>
      <c r="L4840">
        <v>0</v>
      </c>
      <c r="M4840">
        <v>10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T4840" t="str">
        <f t="shared" si="657"/>
        <v>9791166067563</v>
      </c>
      <c r="AV4840" t="str">
        <f t="shared" si="658"/>
        <v>판타지 웹소설 &gt; 현대 판타지</v>
      </c>
    </row>
    <row r="4841" spans="1:48" x14ac:dyDescent="0.4">
      <c r="A4841">
        <v>2313011400</v>
      </c>
      <c r="B4841">
        <v>2313011409</v>
      </c>
      <c r="C4841" t="str">
        <f>T("최종 보스 1권 10화")</f>
        <v>최종 보스 1권 10화</v>
      </c>
      <c r="D4841" t="str">
        <f>T("10")</f>
        <v>10</v>
      </c>
      <c r="E4841" t="str">
        <f t="shared" si="655"/>
        <v>무장</v>
      </c>
      <c r="H4841" t="str">
        <f t="shared" si="654"/>
        <v>스토리위즈</v>
      </c>
      <c r="I4841" t="str">
        <f t="shared" si="656"/>
        <v>최종 보스 : 빛을 향해 달리는 그림자</v>
      </c>
      <c r="J4841">
        <v>0</v>
      </c>
      <c r="K4841">
        <v>0</v>
      </c>
      <c r="L4841">
        <v>0</v>
      </c>
      <c r="M4841">
        <v>9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9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T4841" t="str">
        <f t="shared" si="657"/>
        <v>9791166067563</v>
      </c>
      <c r="AV4841" t="str">
        <f t="shared" si="658"/>
        <v>판타지 웹소설 &gt; 현대 판타지</v>
      </c>
    </row>
    <row r="4842" spans="1:48" x14ac:dyDescent="0.4">
      <c r="A4842">
        <v>2313011400</v>
      </c>
      <c r="B4842">
        <v>2313011410</v>
      </c>
      <c r="C4842" t="str">
        <f>T("최종 보스 1권 11화")</f>
        <v>최종 보스 1권 11화</v>
      </c>
      <c r="D4842" t="str">
        <f>T("11")</f>
        <v>11</v>
      </c>
      <c r="E4842" t="str">
        <f t="shared" si="655"/>
        <v>무장</v>
      </c>
      <c r="H4842" t="str">
        <f t="shared" si="654"/>
        <v>스토리위즈</v>
      </c>
      <c r="I4842" t="str">
        <f t="shared" si="656"/>
        <v>최종 보스 : 빛을 향해 달리는 그림자</v>
      </c>
      <c r="J4842">
        <v>0</v>
      </c>
      <c r="K4842">
        <v>0</v>
      </c>
      <c r="L4842">
        <v>0</v>
      </c>
      <c r="M4842">
        <v>8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8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T4842" t="str">
        <f t="shared" si="657"/>
        <v>9791166067563</v>
      </c>
      <c r="AV4842" t="str">
        <f t="shared" si="658"/>
        <v>판타지 웹소설 &gt; 현대 판타지</v>
      </c>
    </row>
    <row r="4843" spans="1:48" x14ac:dyDescent="0.4">
      <c r="A4843">
        <v>2313011400</v>
      </c>
      <c r="B4843">
        <v>2313011411</v>
      </c>
      <c r="C4843" t="str">
        <f>T("최종 보스 1권 12화")</f>
        <v>최종 보스 1권 12화</v>
      </c>
      <c r="D4843" t="str">
        <f>T("12")</f>
        <v>12</v>
      </c>
      <c r="E4843" t="str">
        <f t="shared" si="655"/>
        <v>무장</v>
      </c>
      <c r="H4843" t="str">
        <f t="shared" si="654"/>
        <v>스토리위즈</v>
      </c>
      <c r="I4843" t="str">
        <f t="shared" si="656"/>
        <v>최종 보스 : 빛을 향해 달리는 그림자</v>
      </c>
      <c r="J4843">
        <v>0</v>
      </c>
      <c r="K4843">
        <v>0</v>
      </c>
      <c r="L4843">
        <v>0</v>
      </c>
      <c r="M4843">
        <v>8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8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T4843" t="str">
        <f t="shared" si="657"/>
        <v>9791166067563</v>
      </c>
      <c r="AV4843" t="str">
        <f t="shared" si="658"/>
        <v>판타지 웹소설 &gt; 현대 판타지</v>
      </c>
    </row>
    <row r="4844" spans="1:48" x14ac:dyDescent="0.4">
      <c r="A4844">
        <v>2313011400</v>
      </c>
      <c r="B4844">
        <v>2313011412</v>
      </c>
      <c r="C4844" t="str">
        <f>T("최종 보스 1권 13화")</f>
        <v>최종 보스 1권 13화</v>
      </c>
      <c r="D4844" t="str">
        <f>T("13")</f>
        <v>13</v>
      </c>
      <c r="E4844" t="str">
        <f t="shared" si="655"/>
        <v>무장</v>
      </c>
      <c r="H4844" t="str">
        <f t="shared" si="654"/>
        <v>스토리위즈</v>
      </c>
      <c r="I4844" t="str">
        <f t="shared" si="656"/>
        <v>최종 보스 : 빛을 향해 달리는 그림자</v>
      </c>
      <c r="J4844">
        <v>0</v>
      </c>
      <c r="K4844">
        <v>0</v>
      </c>
      <c r="L4844">
        <v>0</v>
      </c>
      <c r="M4844">
        <v>8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8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T4844" t="str">
        <f t="shared" si="657"/>
        <v>9791166067563</v>
      </c>
      <c r="AV4844" t="str">
        <f t="shared" si="658"/>
        <v>판타지 웹소설 &gt; 현대 판타지</v>
      </c>
    </row>
    <row r="4845" spans="1:48" x14ac:dyDescent="0.4">
      <c r="A4845">
        <v>2313011400</v>
      </c>
      <c r="B4845">
        <v>2313011413</v>
      </c>
      <c r="C4845" t="str">
        <f>T("최종 보스 1권 14화")</f>
        <v>최종 보스 1권 14화</v>
      </c>
      <c r="D4845" t="str">
        <f>T("14")</f>
        <v>14</v>
      </c>
      <c r="E4845" t="str">
        <f t="shared" si="655"/>
        <v>무장</v>
      </c>
      <c r="H4845" t="str">
        <f t="shared" si="654"/>
        <v>스토리위즈</v>
      </c>
      <c r="I4845" t="str">
        <f t="shared" si="656"/>
        <v>최종 보스 : 빛을 향해 달리는 그림자</v>
      </c>
      <c r="J4845">
        <v>0</v>
      </c>
      <c r="K4845">
        <v>0</v>
      </c>
      <c r="L4845">
        <v>0</v>
      </c>
      <c r="M4845">
        <v>8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8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T4845" t="str">
        <f t="shared" si="657"/>
        <v>9791166067563</v>
      </c>
      <c r="AV4845" t="str">
        <f t="shared" si="658"/>
        <v>판타지 웹소설 &gt; 현대 판타지</v>
      </c>
    </row>
    <row r="4846" spans="1:48" x14ac:dyDescent="0.4">
      <c r="A4846">
        <v>2313011400</v>
      </c>
      <c r="B4846">
        <v>2313011414</v>
      </c>
      <c r="C4846" t="str">
        <f>T("최종 보스 1권 15화")</f>
        <v>최종 보스 1권 15화</v>
      </c>
      <c r="D4846" t="str">
        <f>T("15")</f>
        <v>15</v>
      </c>
      <c r="E4846" t="str">
        <f t="shared" si="655"/>
        <v>무장</v>
      </c>
      <c r="H4846" t="str">
        <f t="shared" si="654"/>
        <v>스토리위즈</v>
      </c>
      <c r="I4846" t="str">
        <f t="shared" si="656"/>
        <v>최종 보스 : 빛을 향해 달리는 그림자</v>
      </c>
      <c r="J4846">
        <v>0</v>
      </c>
      <c r="K4846">
        <v>0</v>
      </c>
      <c r="L4846">
        <v>0</v>
      </c>
      <c r="M4846">
        <v>8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8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T4846" t="str">
        <f t="shared" si="657"/>
        <v>9791166067563</v>
      </c>
      <c r="AV4846" t="str">
        <f t="shared" si="658"/>
        <v>판타지 웹소설 &gt; 현대 판타지</v>
      </c>
    </row>
    <row r="4847" spans="1:48" x14ac:dyDescent="0.4">
      <c r="A4847">
        <v>2313011400</v>
      </c>
      <c r="B4847">
        <v>2313011415</v>
      </c>
      <c r="C4847" t="str">
        <f>T("최종 보스 1권 16화")</f>
        <v>최종 보스 1권 16화</v>
      </c>
      <c r="D4847" t="str">
        <f>T("16")</f>
        <v>16</v>
      </c>
      <c r="E4847" t="str">
        <f t="shared" si="655"/>
        <v>무장</v>
      </c>
      <c r="H4847" t="str">
        <f t="shared" si="654"/>
        <v>스토리위즈</v>
      </c>
      <c r="I4847" t="str">
        <f t="shared" si="656"/>
        <v>최종 보스 : 빛을 향해 달리는 그림자</v>
      </c>
      <c r="J4847">
        <v>0</v>
      </c>
      <c r="K4847">
        <v>0</v>
      </c>
      <c r="L4847">
        <v>0</v>
      </c>
      <c r="M4847">
        <v>7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7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T4847" t="str">
        <f t="shared" si="657"/>
        <v>9791166067563</v>
      </c>
      <c r="AV4847" t="str">
        <f t="shared" si="658"/>
        <v>판타지 웹소설 &gt; 현대 판타지</v>
      </c>
    </row>
    <row r="4848" spans="1:48" x14ac:dyDescent="0.4">
      <c r="A4848">
        <v>2313011400</v>
      </c>
      <c r="B4848">
        <v>2313011416</v>
      </c>
      <c r="C4848" t="str">
        <f>T("최종 보스 1권 17화")</f>
        <v>최종 보스 1권 17화</v>
      </c>
      <c r="D4848" t="str">
        <f>T("17")</f>
        <v>17</v>
      </c>
      <c r="E4848" t="str">
        <f t="shared" si="655"/>
        <v>무장</v>
      </c>
      <c r="H4848" t="str">
        <f t="shared" si="654"/>
        <v>스토리위즈</v>
      </c>
      <c r="I4848" t="str">
        <f t="shared" si="656"/>
        <v>최종 보스 : 빛을 향해 달리는 그림자</v>
      </c>
      <c r="J4848">
        <v>0</v>
      </c>
      <c r="K4848">
        <v>0</v>
      </c>
      <c r="L4848">
        <v>0</v>
      </c>
      <c r="M4848">
        <v>7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7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T4848" t="str">
        <f t="shared" si="657"/>
        <v>9791166067563</v>
      </c>
      <c r="AV4848" t="str">
        <f t="shared" si="658"/>
        <v>판타지 웹소설 &gt; 현대 판타지</v>
      </c>
    </row>
    <row r="4849" spans="1:48" x14ac:dyDescent="0.4">
      <c r="A4849">
        <v>2313011400</v>
      </c>
      <c r="B4849">
        <v>2313011417</v>
      </c>
      <c r="C4849" t="str">
        <f>T("최종 보스 1권 18화")</f>
        <v>최종 보스 1권 18화</v>
      </c>
      <c r="D4849" t="str">
        <f>T("18")</f>
        <v>18</v>
      </c>
      <c r="E4849" t="str">
        <f t="shared" si="655"/>
        <v>무장</v>
      </c>
      <c r="H4849" t="str">
        <f t="shared" si="654"/>
        <v>스토리위즈</v>
      </c>
      <c r="I4849" t="str">
        <f t="shared" si="656"/>
        <v>최종 보스 : 빛을 향해 달리는 그림자</v>
      </c>
      <c r="J4849">
        <v>0</v>
      </c>
      <c r="K4849">
        <v>0</v>
      </c>
      <c r="L4849">
        <v>0</v>
      </c>
      <c r="M4849">
        <v>7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7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T4849" t="str">
        <f t="shared" si="657"/>
        <v>9791166067563</v>
      </c>
      <c r="AV4849" t="str">
        <f t="shared" si="658"/>
        <v>판타지 웹소설 &gt; 현대 판타지</v>
      </c>
    </row>
    <row r="4850" spans="1:48" x14ac:dyDescent="0.4">
      <c r="A4850">
        <v>2313011400</v>
      </c>
      <c r="B4850">
        <v>2313011418</v>
      </c>
      <c r="C4850" t="str">
        <f>T("최종 보스 1권 19화")</f>
        <v>최종 보스 1권 19화</v>
      </c>
      <c r="D4850" t="str">
        <f>T("19")</f>
        <v>19</v>
      </c>
      <c r="E4850" t="str">
        <f t="shared" si="655"/>
        <v>무장</v>
      </c>
      <c r="H4850" t="str">
        <f t="shared" si="654"/>
        <v>스토리위즈</v>
      </c>
      <c r="I4850" t="str">
        <f t="shared" si="656"/>
        <v>최종 보스 : 빛을 향해 달리는 그림자</v>
      </c>
      <c r="J4850">
        <v>0</v>
      </c>
      <c r="K4850">
        <v>0</v>
      </c>
      <c r="L4850">
        <v>0</v>
      </c>
      <c r="M4850">
        <v>6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6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T4850" t="str">
        <f t="shared" si="657"/>
        <v>9791166067563</v>
      </c>
      <c r="AV4850" t="str">
        <f t="shared" si="658"/>
        <v>판타지 웹소설 &gt; 현대 판타지</v>
      </c>
    </row>
    <row r="4851" spans="1:48" x14ac:dyDescent="0.4">
      <c r="A4851">
        <v>2313011400</v>
      </c>
      <c r="B4851">
        <v>2313011419</v>
      </c>
      <c r="C4851" t="str">
        <f>T("최종 보스 1권 20화")</f>
        <v>최종 보스 1권 20화</v>
      </c>
      <c r="D4851" t="str">
        <f>T("20")</f>
        <v>20</v>
      </c>
      <c r="E4851" t="str">
        <f t="shared" si="655"/>
        <v>무장</v>
      </c>
      <c r="H4851" t="str">
        <f t="shared" si="654"/>
        <v>스토리위즈</v>
      </c>
      <c r="I4851" t="str">
        <f t="shared" si="656"/>
        <v>최종 보스 : 빛을 향해 달리는 그림자</v>
      </c>
      <c r="J4851">
        <v>0</v>
      </c>
      <c r="K4851">
        <v>0</v>
      </c>
      <c r="L4851">
        <v>0</v>
      </c>
      <c r="M4851">
        <v>6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6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T4851" t="str">
        <f t="shared" si="657"/>
        <v>9791166067563</v>
      </c>
      <c r="AV4851" t="str">
        <f t="shared" si="658"/>
        <v>판타지 웹소설 &gt; 현대 판타지</v>
      </c>
    </row>
    <row r="4852" spans="1:48" x14ac:dyDescent="0.4">
      <c r="A4852">
        <v>2313011400</v>
      </c>
      <c r="B4852">
        <v>2313011420</v>
      </c>
      <c r="C4852" t="str">
        <f>T("최종 보스 1권 21화")</f>
        <v>최종 보스 1권 21화</v>
      </c>
      <c r="D4852" t="str">
        <f>T("21")</f>
        <v>21</v>
      </c>
      <c r="E4852" t="str">
        <f t="shared" si="655"/>
        <v>무장</v>
      </c>
      <c r="H4852" t="str">
        <f t="shared" si="654"/>
        <v>스토리위즈</v>
      </c>
      <c r="I4852" t="str">
        <f t="shared" si="656"/>
        <v>최종 보스 : 빛을 향해 달리는 그림자</v>
      </c>
      <c r="J4852">
        <v>0</v>
      </c>
      <c r="K4852">
        <v>0</v>
      </c>
      <c r="L4852">
        <v>0</v>
      </c>
      <c r="M4852">
        <v>6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6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T4852" t="str">
        <f t="shared" si="657"/>
        <v>9791166067563</v>
      </c>
      <c r="AV4852" t="str">
        <f t="shared" si="658"/>
        <v>판타지 웹소설 &gt; 현대 판타지</v>
      </c>
    </row>
    <row r="4853" spans="1:48" x14ac:dyDescent="0.4">
      <c r="A4853">
        <v>2313011400</v>
      </c>
      <c r="B4853">
        <v>2313011421</v>
      </c>
      <c r="C4853" t="str">
        <f>T("최종 보스 1권 22화")</f>
        <v>최종 보스 1권 22화</v>
      </c>
      <c r="D4853" t="str">
        <f>T("22")</f>
        <v>22</v>
      </c>
      <c r="E4853" t="str">
        <f t="shared" si="655"/>
        <v>무장</v>
      </c>
      <c r="H4853" t="str">
        <f t="shared" si="654"/>
        <v>스토리위즈</v>
      </c>
      <c r="I4853" t="str">
        <f t="shared" si="656"/>
        <v>최종 보스 : 빛을 향해 달리는 그림자</v>
      </c>
      <c r="J4853">
        <v>0</v>
      </c>
      <c r="K4853">
        <v>0</v>
      </c>
      <c r="L4853">
        <v>0</v>
      </c>
      <c r="M4853">
        <v>8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8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T4853" t="str">
        <f t="shared" si="657"/>
        <v>9791166067563</v>
      </c>
      <c r="AV4853" t="str">
        <f t="shared" si="658"/>
        <v>판타지 웹소설 &gt; 현대 판타지</v>
      </c>
    </row>
    <row r="4854" spans="1:48" x14ac:dyDescent="0.4">
      <c r="A4854">
        <v>2313011921</v>
      </c>
      <c r="B4854">
        <v>2313011921</v>
      </c>
      <c r="C4854" t="str">
        <f>T("[e북]마신부활 1권")</f>
        <v>[e북]마신부활 1권</v>
      </c>
      <c r="D4854" t="str">
        <f>T("1")</f>
        <v>1</v>
      </c>
      <c r="E4854" t="str">
        <f>T("만렙도끼")</f>
        <v>만렙도끼</v>
      </c>
      <c r="H4854" t="str">
        <f t="shared" si="654"/>
        <v>스토리위즈</v>
      </c>
      <c r="I4854" t="str">
        <f>T("[e북]마신부활")</f>
        <v>[e북]마신부활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T4854" t="str">
        <f>T("9791137600850")</f>
        <v>9791137600850</v>
      </c>
      <c r="AV4854" t="str">
        <f>T("판타지 e북 &gt; 신무협")</f>
        <v>판타지 e북 &gt; 신무협</v>
      </c>
    </row>
    <row r="4855" spans="1:48" x14ac:dyDescent="0.4">
      <c r="A4855">
        <v>2313011938</v>
      </c>
      <c r="B4855">
        <v>2313011938</v>
      </c>
      <c r="C4855" t="str">
        <f>T("[e북]최종 보스 : 빛을 향해 달리는 그림자 1부 1권")</f>
        <v>[e북]최종 보스 : 빛을 향해 달리는 그림자 1부 1권</v>
      </c>
      <c r="D4855" t="str">
        <f>T("1")</f>
        <v>1</v>
      </c>
      <c r="E4855" t="str">
        <f t="shared" ref="E4855:E4903" si="659">T("무장")</f>
        <v>무장</v>
      </c>
      <c r="H4855" t="str">
        <f t="shared" si="654"/>
        <v>스토리위즈</v>
      </c>
      <c r="I4855" t="str">
        <f>T("[e북]최종 보스 : 빛을 향해 달리는 그림자")</f>
        <v>[e북]최종 보스 : 빛을 향해 달리는 그림자</v>
      </c>
      <c r="J4855">
        <v>0</v>
      </c>
      <c r="K4855">
        <v>0</v>
      </c>
      <c r="L4855">
        <v>0</v>
      </c>
      <c r="M4855">
        <v>238</v>
      </c>
      <c r="N4855">
        <v>0</v>
      </c>
      <c r="O4855">
        <v>0</v>
      </c>
      <c r="P4855">
        <v>233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471</v>
      </c>
      <c r="AI4855">
        <v>0</v>
      </c>
      <c r="AJ4855">
        <v>1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T4855" t="str">
        <f>T("9791137601017")</f>
        <v>9791137601017</v>
      </c>
      <c r="AV4855" t="str">
        <f>T("판타지 e북 &gt; 현대 판타지")</f>
        <v>판타지 e북 &gt; 현대 판타지</v>
      </c>
    </row>
    <row r="4856" spans="1:48" x14ac:dyDescent="0.4">
      <c r="A4856">
        <v>2313011955</v>
      </c>
      <c r="B4856">
        <v>2313011955</v>
      </c>
      <c r="C4856" t="str">
        <f>T("갓 오브 블랙필드 1화")</f>
        <v>갓 오브 블랙필드 1화</v>
      </c>
      <c r="D4856" t="str">
        <f>T("1")</f>
        <v>1</v>
      </c>
      <c r="E4856" t="str">
        <f t="shared" si="659"/>
        <v>무장</v>
      </c>
      <c r="H4856" t="str">
        <f t="shared" si="654"/>
        <v>스토리위즈</v>
      </c>
      <c r="I4856" t="str">
        <f t="shared" ref="I4856:I4875" si="660">T("갓 오브 블랙필드")</f>
        <v>갓 오브 블랙필드</v>
      </c>
      <c r="J4856">
        <v>0</v>
      </c>
      <c r="K4856">
        <v>0</v>
      </c>
      <c r="L4856">
        <v>0</v>
      </c>
      <c r="M4856">
        <v>97</v>
      </c>
      <c r="N4856">
        <v>0</v>
      </c>
      <c r="O4856">
        <v>0</v>
      </c>
      <c r="P4856">
        <v>34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131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T4856" t="str">
        <f t="shared" ref="AT4856:AT4875" si="661">T("9791137602113")</f>
        <v>9791137602113</v>
      </c>
      <c r="AV4856" t="str">
        <f t="shared" ref="AV4856:AV4900" si="662">T("판타지 웹소설 &gt; 현대 판타지")</f>
        <v>판타지 웹소설 &gt; 현대 판타지</v>
      </c>
    </row>
    <row r="4857" spans="1:48" x14ac:dyDescent="0.4">
      <c r="A4857">
        <v>2313011955</v>
      </c>
      <c r="B4857">
        <v>2313011956</v>
      </c>
      <c r="C4857" t="str">
        <f>T("갓 오브 블랙필드 2화")</f>
        <v>갓 오브 블랙필드 2화</v>
      </c>
      <c r="D4857" t="str">
        <f>T("2")</f>
        <v>2</v>
      </c>
      <c r="E4857" t="str">
        <f t="shared" si="659"/>
        <v>무장</v>
      </c>
      <c r="H4857" t="str">
        <f t="shared" si="654"/>
        <v>스토리위즈</v>
      </c>
      <c r="I4857" t="str">
        <f t="shared" si="660"/>
        <v>갓 오브 블랙필드</v>
      </c>
      <c r="J4857">
        <v>0</v>
      </c>
      <c r="K4857">
        <v>0</v>
      </c>
      <c r="L4857">
        <v>0</v>
      </c>
      <c r="M4857">
        <v>50</v>
      </c>
      <c r="N4857">
        <v>0</v>
      </c>
      <c r="O4857">
        <v>0</v>
      </c>
      <c r="P4857">
        <v>17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67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T4857" t="str">
        <f t="shared" si="661"/>
        <v>9791137602113</v>
      </c>
      <c r="AV4857" t="str">
        <f t="shared" si="662"/>
        <v>판타지 웹소설 &gt; 현대 판타지</v>
      </c>
    </row>
    <row r="4858" spans="1:48" x14ac:dyDescent="0.4">
      <c r="A4858">
        <v>2313011955</v>
      </c>
      <c r="B4858">
        <v>2313011957</v>
      </c>
      <c r="C4858" t="str">
        <f>T("갓 오브 블랙필드 3화")</f>
        <v>갓 오브 블랙필드 3화</v>
      </c>
      <c r="D4858" t="str">
        <f>T("3")</f>
        <v>3</v>
      </c>
      <c r="E4858" t="str">
        <f t="shared" si="659"/>
        <v>무장</v>
      </c>
      <c r="H4858" t="str">
        <f t="shared" si="654"/>
        <v>스토리위즈</v>
      </c>
      <c r="I4858" t="str">
        <f t="shared" si="660"/>
        <v>갓 오브 블랙필드</v>
      </c>
      <c r="J4858">
        <v>0</v>
      </c>
      <c r="K4858">
        <v>0</v>
      </c>
      <c r="L4858">
        <v>0</v>
      </c>
      <c r="M4858">
        <v>48</v>
      </c>
      <c r="N4858">
        <v>0</v>
      </c>
      <c r="O4858">
        <v>0</v>
      </c>
      <c r="P4858">
        <v>15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63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T4858" t="str">
        <f t="shared" si="661"/>
        <v>9791137602113</v>
      </c>
      <c r="AV4858" t="str">
        <f t="shared" si="662"/>
        <v>판타지 웹소설 &gt; 현대 판타지</v>
      </c>
    </row>
    <row r="4859" spans="1:48" x14ac:dyDescent="0.4">
      <c r="A4859">
        <v>2313011955</v>
      </c>
      <c r="B4859">
        <v>2313011958</v>
      </c>
      <c r="C4859" t="str">
        <f>T("갓 오브 블랙필드 4화")</f>
        <v>갓 오브 블랙필드 4화</v>
      </c>
      <c r="D4859" t="str">
        <f>T("4")</f>
        <v>4</v>
      </c>
      <c r="E4859" t="str">
        <f t="shared" si="659"/>
        <v>무장</v>
      </c>
      <c r="H4859" t="str">
        <f t="shared" si="654"/>
        <v>스토리위즈</v>
      </c>
      <c r="I4859" t="str">
        <f t="shared" si="660"/>
        <v>갓 오브 블랙필드</v>
      </c>
      <c r="J4859">
        <v>0</v>
      </c>
      <c r="K4859">
        <v>0</v>
      </c>
      <c r="L4859">
        <v>0</v>
      </c>
      <c r="M4859">
        <v>41</v>
      </c>
      <c r="N4859">
        <v>0</v>
      </c>
      <c r="O4859">
        <v>0</v>
      </c>
      <c r="P4859">
        <v>15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56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T4859" t="str">
        <f t="shared" si="661"/>
        <v>9791137602113</v>
      </c>
      <c r="AV4859" t="str">
        <f t="shared" si="662"/>
        <v>판타지 웹소설 &gt; 현대 판타지</v>
      </c>
    </row>
    <row r="4860" spans="1:48" x14ac:dyDescent="0.4">
      <c r="A4860">
        <v>2313011955</v>
      </c>
      <c r="B4860">
        <v>2313011959</v>
      </c>
      <c r="C4860" t="str">
        <f>T("갓 오브 블랙필드 5화")</f>
        <v>갓 오브 블랙필드 5화</v>
      </c>
      <c r="D4860" t="str">
        <f>T("5")</f>
        <v>5</v>
      </c>
      <c r="E4860" t="str">
        <f t="shared" si="659"/>
        <v>무장</v>
      </c>
      <c r="H4860" t="str">
        <f t="shared" si="654"/>
        <v>스토리위즈</v>
      </c>
      <c r="I4860" t="str">
        <f t="shared" si="660"/>
        <v>갓 오브 블랙필드</v>
      </c>
      <c r="J4860">
        <v>0</v>
      </c>
      <c r="K4860">
        <v>0</v>
      </c>
      <c r="L4860">
        <v>0</v>
      </c>
      <c r="M4860">
        <v>41</v>
      </c>
      <c r="N4860">
        <v>0</v>
      </c>
      <c r="O4860">
        <v>0</v>
      </c>
      <c r="P4860">
        <v>15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56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T4860" t="str">
        <f t="shared" si="661"/>
        <v>9791137602113</v>
      </c>
      <c r="AV4860" t="str">
        <f t="shared" si="662"/>
        <v>판타지 웹소설 &gt; 현대 판타지</v>
      </c>
    </row>
    <row r="4861" spans="1:48" x14ac:dyDescent="0.4">
      <c r="A4861">
        <v>2313011955</v>
      </c>
      <c r="B4861">
        <v>2313011960</v>
      </c>
      <c r="C4861" t="str">
        <f>T("갓 오브 블랙필드 6화")</f>
        <v>갓 오브 블랙필드 6화</v>
      </c>
      <c r="D4861" t="str">
        <f>T("6")</f>
        <v>6</v>
      </c>
      <c r="E4861" t="str">
        <f t="shared" si="659"/>
        <v>무장</v>
      </c>
      <c r="H4861" t="str">
        <f t="shared" si="654"/>
        <v>스토리위즈</v>
      </c>
      <c r="I4861" t="str">
        <f t="shared" si="660"/>
        <v>갓 오브 블랙필드</v>
      </c>
      <c r="J4861">
        <v>0</v>
      </c>
      <c r="K4861">
        <v>0</v>
      </c>
      <c r="L4861">
        <v>0</v>
      </c>
      <c r="M4861">
        <v>38</v>
      </c>
      <c r="N4861">
        <v>0</v>
      </c>
      <c r="O4861">
        <v>0</v>
      </c>
      <c r="P4861">
        <v>15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53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T4861" t="str">
        <f t="shared" si="661"/>
        <v>9791137602113</v>
      </c>
      <c r="AV4861" t="str">
        <f t="shared" si="662"/>
        <v>판타지 웹소설 &gt; 현대 판타지</v>
      </c>
    </row>
    <row r="4862" spans="1:48" x14ac:dyDescent="0.4">
      <c r="A4862">
        <v>2313011955</v>
      </c>
      <c r="B4862">
        <v>2313011961</v>
      </c>
      <c r="C4862" t="str">
        <f>T("갓 오브 블랙필드 7화")</f>
        <v>갓 오브 블랙필드 7화</v>
      </c>
      <c r="D4862" t="str">
        <f>T("7")</f>
        <v>7</v>
      </c>
      <c r="E4862" t="str">
        <f t="shared" si="659"/>
        <v>무장</v>
      </c>
      <c r="H4862" t="str">
        <f t="shared" si="654"/>
        <v>스토리위즈</v>
      </c>
      <c r="I4862" t="str">
        <f t="shared" si="660"/>
        <v>갓 오브 블랙필드</v>
      </c>
      <c r="J4862">
        <v>0</v>
      </c>
      <c r="K4862">
        <v>0</v>
      </c>
      <c r="L4862">
        <v>0</v>
      </c>
      <c r="M4862">
        <v>33</v>
      </c>
      <c r="N4862">
        <v>0</v>
      </c>
      <c r="O4862">
        <v>0</v>
      </c>
      <c r="P4862">
        <v>14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47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T4862" t="str">
        <f t="shared" si="661"/>
        <v>9791137602113</v>
      </c>
      <c r="AV4862" t="str">
        <f t="shared" si="662"/>
        <v>판타지 웹소설 &gt; 현대 판타지</v>
      </c>
    </row>
    <row r="4863" spans="1:48" x14ac:dyDescent="0.4">
      <c r="A4863">
        <v>2313011955</v>
      </c>
      <c r="B4863">
        <v>2313011962</v>
      </c>
      <c r="C4863" t="str">
        <f>T("갓 오브 블랙필드 8화")</f>
        <v>갓 오브 블랙필드 8화</v>
      </c>
      <c r="D4863" t="str">
        <f>T("8")</f>
        <v>8</v>
      </c>
      <c r="E4863" t="str">
        <f t="shared" si="659"/>
        <v>무장</v>
      </c>
      <c r="H4863" t="str">
        <f t="shared" si="654"/>
        <v>스토리위즈</v>
      </c>
      <c r="I4863" t="str">
        <f t="shared" si="660"/>
        <v>갓 오브 블랙필드</v>
      </c>
      <c r="J4863">
        <v>0</v>
      </c>
      <c r="K4863">
        <v>0</v>
      </c>
      <c r="L4863">
        <v>0</v>
      </c>
      <c r="M4863">
        <v>33</v>
      </c>
      <c r="N4863">
        <v>0</v>
      </c>
      <c r="O4863">
        <v>0</v>
      </c>
      <c r="P4863">
        <v>14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47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T4863" t="str">
        <f t="shared" si="661"/>
        <v>9791137602113</v>
      </c>
      <c r="AV4863" t="str">
        <f t="shared" si="662"/>
        <v>판타지 웹소설 &gt; 현대 판타지</v>
      </c>
    </row>
    <row r="4864" spans="1:48" x14ac:dyDescent="0.4">
      <c r="A4864">
        <v>2313011955</v>
      </c>
      <c r="B4864">
        <v>2313011963</v>
      </c>
      <c r="C4864" t="str">
        <f>T("갓 오브 블랙필드 9화")</f>
        <v>갓 오브 블랙필드 9화</v>
      </c>
      <c r="D4864" t="str">
        <f>T("9")</f>
        <v>9</v>
      </c>
      <c r="E4864" t="str">
        <f t="shared" si="659"/>
        <v>무장</v>
      </c>
      <c r="H4864" t="str">
        <f t="shared" si="654"/>
        <v>스토리위즈</v>
      </c>
      <c r="I4864" t="str">
        <f t="shared" si="660"/>
        <v>갓 오브 블랙필드</v>
      </c>
      <c r="J4864">
        <v>0</v>
      </c>
      <c r="K4864">
        <v>0</v>
      </c>
      <c r="L4864">
        <v>0</v>
      </c>
      <c r="M4864">
        <v>34</v>
      </c>
      <c r="N4864">
        <v>0</v>
      </c>
      <c r="O4864">
        <v>0</v>
      </c>
      <c r="P4864">
        <v>14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48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T4864" t="str">
        <f t="shared" si="661"/>
        <v>9791137602113</v>
      </c>
      <c r="AV4864" t="str">
        <f t="shared" si="662"/>
        <v>판타지 웹소설 &gt; 현대 판타지</v>
      </c>
    </row>
    <row r="4865" spans="1:48" x14ac:dyDescent="0.4">
      <c r="A4865">
        <v>2313011955</v>
      </c>
      <c r="B4865">
        <v>2313011964</v>
      </c>
      <c r="C4865" t="str">
        <f>T("갓 오브 블랙필드 10화")</f>
        <v>갓 오브 블랙필드 10화</v>
      </c>
      <c r="D4865" t="str">
        <f>T("10")</f>
        <v>10</v>
      </c>
      <c r="E4865" t="str">
        <f t="shared" si="659"/>
        <v>무장</v>
      </c>
      <c r="H4865" t="str">
        <f t="shared" si="654"/>
        <v>스토리위즈</v>
      </c>
      <c r="I4865" t="str">
        <f t="shared" si="660"/>
        <v>갓 오브 블랙필드</v>
      </c>
      <c r="J4865">
        <v>0</v>
      </c>
      <c r="K4865">
        <v>0</v>
      </c>
      <c r="L4865">
        <v>0</v>
      </c>
      <c r="M4865">
        <v>34</v>
      </c>
      <c r="N4865">
        <v>0</v>
      </c>
      <c r="O4865">
        <v>0</v>
      </c>
      <c r="P4865">
        <v>13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47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T4865" t="str">
        <f t="shared" si="661"/>
        <v>9791137602113</v>
      </c>
      <c r="AV4865" t="str">
        <f t="shared" si="662"/>
        <v>판타지 웹소설 &gt; 현대 판타지</v>
      </c>
    </row>
    <row r="4866" spans="1:48" x14ac:dyDescent="0.4">
      <c r="A4866">
        <v>2313011955</v>
      </c>
      <c r="B4866">
        <v>2313011965</v>
      </c>
      <c r="C4866" t="str">
        <f>T("갓 오브 블랙필드 11화")</f>
        <v>갓 오브 블랙필드 11화</v>
      </c>
      <c r="D4866" t="str">
        <f>T("11")</f>
        <v>11</v>
      </c>
      <c r="E4866" t="str">
        <f t="shared" si="659"/>
        <v>무장</v>
      </c>
      <c r="H4866" t="str">
        <f t="shared" si="654"/>
        <v>스토리위즈</v>
      </c>
      <c r="I4866" t="str">
        <f t="shared" si="660"/>
        <v>갓 오브 블랙필드</v>
      </c>
      <c r="J4866">
        <v>0</v>
      </c>
      <c r="K4866">
        <v>0</v>
      </c>
      <c r="L4866">
        <v>0</v>
      </c>
      <c r="M4866">
        <v>32</v>
      </c>
      <c r="N4866">
        <v>0</v>
      </c>
      <c r="O4866">
        <v>0</v>
      </c>
      <c r="P4866">
        <v>13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45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T4866" t="str">
        <f t="shared" si="661"/>
        <v>9791137602113</v>
      </c>
      <c r="AV4866" t="str">
        <f t="shared" si="662"/>
        <v>판타지 웹소설 &gt; 현대 판타지</v>
      </c>
    </row>
    <row r="4867" spans="1:48" x14ac:dyDescent="0.4">
      <c r="A4867">
        <v>2313011955</v>
      </c>
      <c r="B4867">
        <v>2313011966</v>
      </c>
      <c r="C4867" t="str">
        <f>T("갓 오브 블랙필드 12화")</f>
        <v>갓 오브 블랙필드 12화</v>
      </c>
      <c r="D4867" t="str">
        <f>T("12")</f>
        <v>12</v>
      </c>
      <c r="E4867" t="str">
        <f t="shared" si="659"/>
        <v>무장</v>
      </c>
      <c r="H4867" t="str">
        <f t="shared" si="654"/>
        <v>스토리위즈</v>
      </c>
      <c r="I4867" t="str">
        <f t="shared" si="660"/>
        <v>갓 오브 블랙필드</v>
      </c>
      <c r="J4867">
        <v>0</v>
      </c>
      <c r="K4867">
        <v>0</v>
      </c>
      <c r="L4867">
        <v>0</v>
      </c>
      <c r="M4867">
        <v>31</v>
      </c>
      <c r="N4867">
        <v>0</v>
      </c>
      <c r="O4867">
        <v>0</v>
      </c>
      <c r="P4867">
        <v>13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44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T4867" t="str">
        <f t="shared" si="661"/>
        <v>9791137602113</v>
      </c>
      <c r="AV4867" t="str">
        <f t="shared" si="662"/>
        <v>판타지 웹소설 &gt; 현대 판타지</v>
      </c>
    </row>
    <row r="4868" spans="1:48" x14ac:dyDescent="0.4">
      <c r="A4868">
        <v>2313011955</v>
      </c>
      <c r="B4868">
        <v>2313011967</v>
      </c>
      <c r="C4868" t="str">
        <f>T("갓 오브 블랙필드 13화")</f>
        <v>갓 오브 블랙필드 13화</v>
      </c>
      <c r="D4868" t="str">
        <f>T("13")</f>
        <v>13</v>
      </c>
      <c r="E4868" t="str">
        <f t="shared" si="659"/>
        <v>무장</v>
      </c>
      <c r="H4868" t="str">
        <f t="shared" si="654"/>
        <v>스토리위즈</v>
      </c>
      <c r="I4868" t="str">
        <f t="shared" si="660"/>
        <v>갓 오브 블랙필드</v>
      </c>
      <c r="J4868">
        <v>0</v>
      </c>
      <c r="K4868">
        <v>0</v>
      </c>
      <c r="L4868">
        <v>0</v>
      </c>
      <c r="M4868">
        <v>30</v>
      </c>
      <c r="N4868">
        <v>0</v>
      </c>
      <c r="O4868">
        <v>0</v>
      </c>
      <c r="P4868">
        <v>13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43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T4868" t="str">
        <f t="shared" si="661"/>
        <v>9791137602113</v>
      </c>
      <c r="AV4868" t="str">
        <f t="shared" si="662"/>
        <v>판타지 웹소설 &gt; 현대 판타지</v>
      </c>
    </row>
    <row r="4869" spans="1:48" x14ac:dyDescent="0.4">
      <c r="A4869">
        <v>2313011955</v>
      </c>
      <c r="B4869">
        <v>2313011968</v>
      </c>
      <c r="C4869" t="str">
        <f>T("갓 오브 블랙필드 14화")</f>
        <v>갓 오브 블랙필드 14화</v>
      </c>
      <c r="D4869" t="str">
        <f>T("14")</f>
        <v>14</v>
      </c>
      <c r="E4869" t="str">
        <f t="shared" si="659"/>
        <v>무장</v>
      </c>
      <c r="H4869" t="str">
        <f t="shared" si="654"/>
        <v>스토리위즈</v>
      </c>
      <c r="I4869" t="str">
        <f t="shared" si="660"/>
        <v>갓 오브 블랙필드</v>
      </c>
      <c r="J4869">
        <v>0</v>
      </c>
      <c r="K4869">
        <v>0</v>
      </c>
      <c r="L4869">
        <v>0</v>
      </c>
      <c r="M4869">
        <v>30</v>
      </c>
      <c r="N4869">
        <v>0</v>
      </c>
      <c r="O4869">
        <v>0</v>
      </c>
      <c r="P4869">
        <v>13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43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T4869" t="str">
        <f t="shared" si="661"/>
        <v>9791137602113</v>
      </c>
      <c r="AV4869" t="str">
        <f t="shared" si="662"/>
        <v>판타지 웹소설 &gt; 현대 판타지</v>
      </c>
    </row>
    <row r="4870" spans="1:48" x14ac:dyDescent="0.4">
      <c r="A4870">
        <v>2313011955</v>
      </c>
      <c r="B4870">
        <v>2313011969</v>
      </c>
      <c r="C4870" t="str">
        <f>T("갓 오브 블랙필드 15화")</f>
        <v>갓 오브 블랙필드 15화</v>
      </c>
      <c r="D4870" t="str">
        <f>T("15")</f>
        <v>15</v>
      </c>
      <c r="E4870" t="str">
        <f t="shared" si="659"/>
        <v>무장</v>
      </c>
      <c r="H4870" t="str">
        <f t="shared" si="654"/>
        <v>스토리위즈</v>
      </c>
      <c r="I4870" t="str">
        <f t="shared" si="660"/>
        <v>갓 오브 블랙필드</v>
      </c>
      <c r="J4870">
        <v>0</v>
      </c>
      <c r="K4870">
        <v>0</v>
      </c>
      <c r="L4870">
        <v>0</v>
      </c>
      <c r="M4870">
        <v>30</v>
      </c>
      <c r="N4870">
        <v>0</v>
      </c>
      <c r="O4870">
        <v>0</v>
      </c>
      <c r="P4870">
        <v>13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43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T4870" t="str">
        <f t="shared" si="661"/>
        <v>9791137602113</v>
      </c>
      <c r="AV4870" t="str">
        <f t="shared" si="662"/>
        <v>판타지 웹소설 &gt; 현대 판타지</v>
      </c>
    </row>
    <row r="4871" spans="1:48" x14ac:dyDescent="0.4">
      <c r="A4871">
        <v>2313011955</v>
      </c>
      <c r="B4871">
        <v>2313011970</v>
      </c>
      <c r="C4871" t="str">
        <f>T("갓 오브 블랙필드 16화")</f>
        <v>갓 오브 블랙필드 16화</v>
      </c>
      <c r="D4871" t="str">
        <f>T("16")</f>
        <v>16</v>
      </c>
      <c r="E4871" t="str">
        <f t="shared" si="659"/>
        <v>무장</v>
      </c>
      <c r="H4871" t="str">
        <f t="shared" si="654"/>
        <v>스토리위즈</v>
      </c>
      <c r="I4871" t="str">
        <f t="shared" si="660"/>
        <v>갓 오브 블랙필드</v>
      </c>
      <c r="J4871">
        <v>0</v>
      </c>
      <c r="K4871">
        <v>0</v>
      </c>
      <c r="L4871">
        <v>0</v>
      </c>
      <c r="M4871">
        <v>30</v>
      </c>
      <c r="N4871">
        <v>0</v>
      </c>
      <c r="O4871">
        <v>0</v>
      </c>
      <c r="P4871">
        <v>13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43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T4871" t="str">
        <f t="shared" si="661"/>
        <v>9791137602113</v>
      </c>
      <c r="AV4871" t="str">
        <f t="shared" si="662"/>
        <v>판타지 웹소설 &gt; 현대 판타지</v>
      </c>
    </row>
    <row r="4872" spans="1:48" x14ac:dyDescent="0.4">
      <c r="A4872">
        <v>2313011955</v>
      </c>
      <c r="B4872">
        <v>2313011971</v>
      </c>
      <c r="C4872" t="str">
        <f>T("갓 오브 블랙필드 17화")</f>
        <v>갓 오브 블랙필드 17화</v>
      </c>
      <c r="D4872" t="str">
        <f>T("17")</f>
        <v>17</v>
      </c>
      <c r="E4872" t="str">
        <f t="shared" si="659"/>
        <v>무장</v>
      </c>
      <c r="H4872" t="str">
        <f t="shared" si="654"/>
        <v>스토리위즈</v>
      </c>
      <c r="I4872" t="str">
        <f t="shared" si="660"/>
        <v>갓 오브 블랙필드</v>
      </c>
      <c r="J4872">
        <v>0</v>
      </c>
      <c r="K4872">
        <v>0</v>
      </c>
      <c r="L4872">
        <v>0</v>
      </c>
      <c r="M4872">
        <v>30</v>
      </c>
      <c r="N4872">
        <v>0</v>
      </c>
      <c r="O4872">
        <v>0</v>
      </c>
      <c r="P4872">
        <v>14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44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T4872" t="str">
        <f t="shared" si="661"/>
        <v>9791137602113</v>
      </c>
      <c r="AV4872" t="str">
        <f t="shared" si="662"/>
        <v>판타지 웹소설 &gt; 현대 판타지</v>
      </c>
    </row>
    <row r="4873" spans="1:48" x14ac:dyDescent="0.4">
      <c r="A4873">
        <v>2313011955</v>
      </c>
      <c r="B4873">
        <v>2313011972</v>
      </c>
      <c r="C4873" t="str">
        <f>T("갓 오브 블랙필드 18화")</f>
        <v>갓 오브 블랙필드 18화</v>
      </c>
      <c r="D4873" t="str">
        <f>T("18")</f>
        <v>18</v>
      </c>
      <c r="E4873" t="str">
        <f t="shared" si="659"/>
        <v>무장</v>
      </c>
      <c r="H4873" t="str">
        <f t="shared" si="654"/>
        <v>스토리위즈</v>
      </c>
      <c r="I4873" t="str">
        <f t="shared" si="660"/>
        <v>갓 오브 블랙필드</v>
      </c>
      <c r="J4873">
        <v>0</v>
      </c>
      <c r="K4873">
        <v>0</v>
      </c>
      <c r="L4873">
        <v>0</v>
      </c>
      <c r="M4873">
        <v>29</v>
      </c>
      <c r="N4873">
        <v>0</v>
      </c>
      <c r="O4873">
        <v>0</v>
      </c>
      <c r="P4873">
        <v>13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42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T4873" t="str">
        <f t="shared" si="661"/>
        <v>9791137602113</v>
      </c>
      <c r="AV4873" t="str">
        <f t="shared" si="662"/>
        <v>판타지 웹소설 &gt; 현대 판타지</v>
      </c>
    </row>
    <row r="4874" spans="1:48" x14ac:dyDescent="0.4">
      <c r="A4874">
        <v>2313011955</v>
      </c>
      <c r="B4874">
        <v>2313011973</v>
      </c>
      <c r="C4874" t="str">
        <f>T("갓 오브 블랙필드 19화")</f>
        <v>갓 오브 블랙필드 19화</v>
      </c>
      <c r="D4874" t="str">
        <f>T("19")</f>
        <v>19</v>
      </c>
      <c r="E4874" t="str">
        <f t="shared" si="659"/>
        <v>무장</v>
      </c>
      <c r="H4874" t="str">
        <f t="shared" si="654"/>
        <v>스토리위즈</v>
      </c>
      <c r="I4874" t="str">
        <f t="shared" si="660"/>
        <v>갓 오브 블랙필드</v>
      </c>
      <c r="J4874">
        <v>0</v>
      </c>
      <c r="K4874">
        <v>0</v>
      </c>
      <c r="L4874">
        <v>0</v>
      </c>
      <c r="M4874">
        <v>29</v>
      </c>
      <c r="N4874">
        <v>0</v>
      </c>
      <c r="O4874">
        <v>0</v>
      </c>
      <c r="P4874">
        <v>13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42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T4874" t="str">
        <f t="shared" si="661"/>
        <v>9791137602113</v>
      </c>
      <c r="AV4874" t="str">
        <f t="shared" si="662"/>
        <v>판타지 웹소설 &gt; 현대 판타지</v>
      </c>
    </row>
    <row r="4875" spans="1:48" x14ac:dyDescent="0.4">
      <c r="A4875">
        <v>2313011955</v>
      </c>
      <c r="B4875">
        <v>2313011974</v>
      </c>
      <c r="C4875" t="str">
        <f>T("갓 오브 블랙필드 20화")</f>
        <v>갓 오브 블랙필드 20화</v>
      </c>
      <c r="D4875" t="str">
        <f>T("20")</f>
        <v>20</v>
      </c>
      <c r="E4875" t="str">
        <f t="shared" si="659"/>
        <v>무장</v>
      </c>
      <c r="H4875" t="str">
        <f t="shared" si="654"/>
        <v>스토리위즈</v>
      </c>
      <c r="I4875" t="str">
        <f t="shared" si="660"/>
        <v>갓 오브 블랙필드</v>
      </c>
      <c r="J4875">
        <v>0</v>
      </c>
      <c r="K4875">
        <v>0</v>
      </c>
      <c r="L4875">
        <v>0</v>
      </c>
      <c r="M4875">
        <v>28</v>
      </c>
      <c r="N4875">
        <v>0</v>
      </c>
      <c r="O4875">
        <v>0</v>
      </c>
      <c r="P4875">
        <v>13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41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T4875" t="str">
        <f t="shared" si="661"/>
        <v>9791137602113</v>
      </c>
      <c r="AV4875" t="str">
        <f t="shared" si="662"/>
        <v>판타지 웹소설 &gt; 현대 판타지</v>
      </c>
    </row>
    <row r="4876" spans="1:48" x14ac:dyDescent="0.4">
      <c r="A4876">
        <v>2313012374</v>
      </c>
      <c r="B4876">
        <v>2313012374</v>
      </c>
      <c r="C4876" t="str">
        <f>T("그라운드의 지배자 1화")</f>
        <v>그라운드의 지배자 1화</v>
      </c>
      <c r="D4876" t="str">
        <f>T("1")</f>
        <v>1</v>
      </c>
      <c r="E4876" t="str">
        <f t="shared" si="659"/>
        <v>무장</v>
      </c>
      <c r="H4876" t="str">
        <f t="shared" si="654"/>
        <v>스토리위즈</v>
      </c>
      <c r="I4876" t="str">
        <f t="shared" ref="I4876:I4900" si="663">T("그라운드의 지배자")</f>
        <v>그라운드의 지배자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T4876" t="str">
        <f t="shared" ref="AT4876:AT4900" si="664">T("9791137602120")</f>
        <v>9791137602120</v>
      </c>
      <c r="AV4876" t="str">
        <f t="shared" si="662"/>
        <v>판타지 웹소설 &gt; 현대 판타지</v>
      </c>
    </row>
    <row r="4877" spans="1:48" x14ac:dyDescent="0.4">
      <c r="A4877">
        <v>2313012374</v>
      </c>
      <c r="B4877">
        <v>2313012375</v>
      </c>
      <c r="C4877" t="str">
        <f>T("그라운드의 지배자 2화")</f>
        <v>그라운드의 지배자 2화</v>
      </c>
      <c r="D4877" t="str">
        <f>T("2")</f>
        <v>2</v>
      </c>
      <c r="E4877" t="str">
        <f t="shared" si="659"/>
        <v>무장</v>
      </c>
      <c r="H4877" t="str">
        <f t="shared" si="654"/>
        <v>스토리위즈</v>
      </c>
      <c r="I4877" t="str">
        <f t="shared" si="663"/>
        <v>그라운드의 지배자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2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T4877" t="str">
        <f t="shared" si="664"/>
        <v>9791137602120</v>
      </c>
      <c r="AV4877" t="str">
        <f t="shared" si="662"/>
        <v>판타지 웹소설 &gt; 현대 판타지</v>
      </c>
    </row>
    <row r="4878" spans="1:48" x14ac:dyDescent="0.4">
      <c r="A4878">
        <v>2313012374</v>
      </c>
      <c r="B4878">
        <v>2313012376</v>
      </c>
      <c r="C4878" t="str">
        <f>T("그라운드의 지배자 3화")</f>
        <v>그라운드의 지배자 3화</v>
      </c>
      <c r="D4878" t="str">
        <f>T("3")</f>
        <v>3</v>
      </c>
      <c r="E4878" t="str">
        <f t="shared" si="659"/>
        <v>무장</v>
      </c>
      <c r="H4878" t="str">
        <f t="shared" si="654"/>
        <v>스토리위즈</v>
      </c>
      <c r="I4878" t="str">
        <f t="shared" si="663"/>
        <v>그라운드의 지배자</v>
      </c>
      <c r="J4878">
        <v>0</v>
      </c>
      <c r="K4878">
        <v>0</v>
      </c>
      <c r="L4878">
        <v>0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2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T4878" t="str">
        <f t="shared" si="664"/>
        <v>9791137602120</v>
      </c>
      <c r="AV4878" t="str">
        <f t="shared" si="662"/>
        <v>판타지 웹소설 &gt; 현대 판타지</v>
      </c>
    </row>
    <row r="4879" spans="1:48" x14ac:dyDescent="0.4">
      <c r="A4879">
        <v>2313012374</v>
      </c>
      <c r="B4879">
        <v>2313012377</v>
      </c>
      <c r="C4879" t="str">
        <f>T("그라운드의 지배자 4화")</f>
        <v>그라운드의 지배자 4화</v>
      </c>
      <c r="D4879" t="str">
        <f>T("4")</f>
        <v>4</v>
      </c>
      <c r="E4879" t="str">
        <f t="shared" si="659"/>
        <v>무장</v>
      </c>
      <c r="H4879" t="str">
        <f t="shared" si="654"/>
        <v>스토리위즈</v>
      </c>
      <c r="I4879" t="str">
        <f t="shared" si="663"/>
        <v>그라운드의 지배자</v>
      </c>
      <c r="J4879">
        <v>0</v>
      </c>
      <c r="K4879">
        <v>0</v>
      </c>
      <c r="L4879">
        <v>0</v>
      </c>
      <c r="M4879">
        <v>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T4879" t="str">
        <f t="shared" si="664"/>
        <v>9791137602120</v>
      </c>
      <c r="AV4879" t="str">
        <f t="shared" si="662"/>
        <v>판타지 웹소설 &gt; 현대 판타지</v>
      </c>
    </row>
    <row r="4880" spans="1:48" x14ac:dyDescent="0.4">
      <c r="A4880">
        <v>2313012374</v>
      </c>
      <c r="B4880">
        <v>2313012378</v>
      </c>
      <c r="C4880" t="str">
        <f>T("그라운드의 지배자 5화")</f>
        <v>그라운드의 지배자 5화</v>
      </c>
      <c r="D4880" t="str">
        <f>T("5")</f>
        <v>5</v>
      </c>
      <c r="E4880" t="str">
        <f t="shared" si="659"/>
        <v>무장</v>
      </c>
      <c r="H4880" t="str">
        <f t="shared" si="654"/>
        <v>스토리위즈</v>
      </c>
      <c r="I4880" t="str">
        <f t="shared" si="663"/>
        <v>그라운드의 지배자</v>
      </c>
      <c r="J4880">
        <v>0</v>
      </c>
      <c r="K4880">
        <v>0</v>
      </c>
      <c r="L4880">
        <v>0</v>
      </c>
      <c r="M4880">
        <v>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2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T4880" t="str">
        <f t="shared" si="664"/>
        <v>9791137602120</v>
      </c>
      <c r="AV4880" t="str">
        <f t="shared" si="662"/>
        <v>판타지 웹소설 &gt; 현대 판타지</v>
      </c>
    </row>
    <row r="4881" spans="1:48" x14ac:dyDescent="0.4">
      <c r="A4881">
        <v>2313012374</v>
      </c>
      <c r="B4881">
        <v>2313012379</v>
      </c>
      <c r="C4881" t="str">
        <f>T("그라운드의 지배자 6화")</f>
        <v>그라운드의 지배자 6화</v>
      </c>
      <c r="D4881" t="str">
        <f>T("6")</f>
        <v>6</v>
      </c>
      <c r="E4881" t="str">
        <f t="shared" si="659"/>
        <v>무장</v>
      </c>
      <c r="H4881" t="str">
        <f t="shared" si="654"/>
        <v>스토리위즈</v>
      </c>
      <c r="I4881" t="str">
        <f t="shared" si="663"/>
        <v>그라운드의 지배자</v>
      </c>
      <c r="J4881">
        <v>0</v>
      </c>
      <c r="K4881">
        <v>0</v>
      </c>
      <c r="L4881">
        <v>0</v>
      </c>
      <c r="M4881">
        <v>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2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T4881" t="str">
        <f t="shared" si="664"/>
        <v>9791137602120</v>
      </c>
      <c r="AV4881" t="str">
        <f t="shared" si="662"/>
        <v>판타지 웹소설 &gt; 현대 판타지</v>
      </c>
    </row>
    <row r="4882" spans="1:48" x14ac:dyDescent="0.4">
      <c r="A4882">
        <v>2313012374</v>
      </c>
      <c r="B4882">
        <v>2313012380</v>
      </c>
      <c r="C4882" t="str">
        <f>T("그라운드의 지배자 7화")</f>
        <v>그라운드의 지배자 7화</v>
      </c>
      <c r="D4882" t="str">
        <f>T("7")</f>
        <v>7</v>
      </c>
      <c r="E4882" t="str">
        <f t="shared" si="659"/>
        <v>무장</v>
      </c>
      <c r="H4882" t="str">
        <f t="shared" si="654"/>
        <v>스토리위즈</v>
      </c>
      <c r="I4882" t="str">
        <f t="shared" si="663"/>
        <v>그라운드의 지배자</v>
      </c>
      <c r="J4882">
        <v>0</v>
      </c>
      <c r="K4882">
        <v>0</v>
      </c>
      <c r="L4882">
        <v>0</v>
      </c>
      <c r="M4882">
        <v>3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3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T4882" t="str">
        <f t="shared" si="664"/>
        <v>9791137602120</v>
      </c>
      <c r="AV4882" t="str">
        <f t="shared" si="662"/>
        <v>판타지 웹소설 &gt; 현대 판타지</v>
      </c>
    </row>
    <row r="4883" spans="1:48" x14ac:dyDescent="0.4">
      <c r="A4883">
        <v>2313012374</v>
      </c>
      <c r="B4883">
        <v>2313012381</v>
      </c>
      <c r="C4883" t="str">
        <f>T("그라운드의 지배자 8화")</f>
        <v>그라운드의 지배자 8화</v>
      </c>
      <c r="D4883" t="str">
        <f>T("8")</f>
        <v>8</v>
      </c>
      <c r="E4883" t="str">
        <f t="shared" si="659"/>
        <v>무장</v>
      </c>
      <c r="H4883" t="str">
        <f t="shared" si="654"/>
        <v>스토리위즈</v>
      </c>
      <c r="I4883" t="str">
        <f t="shared" si="663"/>
        <v>그라운드의 지배자</v>
      </c>
      <c r="J4883">
        <v>0</v>
      </c>
      <c r="K4883">
        <v>0</v>
      </c>
      <c r="L4883">
        <v>0</v>
      </c>
      <c r="M4883">
        <v>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2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T4883" t="str">
        <f t="shared" si="664"/>
        <v>9791137602120</v>
      </c>
      <c r="AV4883" t="str">
        <f t="shared" si="662"/>
        <v>판타지 웹소설 &gt; 현대 판타지</v>
      </c>
    </row>
    <row r="4884" spans="1:48" x14ac:dyDescent="0.4">
      <c r="A4884">
        <v>2313012374</v>
      </c>
      <c r="B4884">
        <v>2313012382</v>
      </c>
      <c r="C4884" t="str">
        <f>T("그라운드의 지배자 9화")</f>
        <v>그라운드의 지배자 9화</v>
      </c>
      <c r="D4884" t="str">
        <f>T("9")</f>
        <v>9</v>
      </c>
      <c r="E4884" t="str">
        <f t="shared" si="659"/>
        <v>무장</v>
      </c>
      <c r="H4884" t="str">
        <f t="shared" si="654"/>
        <v>스토리위즈</v>
      </c>
      <c r="I4884" t="str">
        <f t="shared" si="663"/>
        <v>그라운드의 지배자</v>
      </c>
      <c r="J4884">
        <v>0</v>
      </c>
      <c r="K4884">
        <v>0</v>
      </c>
      <c r="L4884">
        <v>0</v>
      </c>
      <c r="M4884">
        <v>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2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T4884" t="str">
        <f t="shared" si="664"/>
        <v>9791137602120</v>
      </c>
      <c r="AV4884" t="str">
        <f t="shared" si="662"/>
        <v>판타지 웹소설 &gt; 현대 판타지</v>
      </c>
    </row>
    <row r="4885" spans="1:48" x14ac:dyDescent="0.4">
      <c r="A4885">
        <v>2313012374</v>
      </c>
      <c r="B4885">
        <v>2313012383</v>
      </c>
      <c r="C4885" t="str">
        <f>T("그라운드의 지배자 10화")</f>
        <v>그라운드의 지배자 10화</v>
      </c>
      <c r="D4885" t="str">
        <f>T("10")</f>
        <v>10</v>
      </c>
      <c r="E4885" t="str">
        <f t="shared" si="659"/>
        <v>무장</v>
      </c>
      <c r="H4885" t="str">
        <f t="shared" si="654"/>
        <v>스토리위즈</v>
      </c>
      <c r="I4885" t="str">
        <f t="shared" si="663"/>
        <v>그라운드의 지배자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T4885" t="str">
        <f t="shared" si="664"/>
        <v>9791137602120</v>
      </c>
      <c r="AV4885" t="str">
        <f t="shared" si="662"/>
        <v>판타지 웹소설 &gt; 현대 판타지</v>
      </c>
    </row>
    <row r="4886" spans="1:48" x14ac:dyDescent="0.4">
      <c r="A4886">
        <v>2313012374</v>
      </c>
      <c r="B4886">
        <v>2313012384</v>
      </c>
      <c r="C4886" t="str">
        <f>T("그라운드의 지배자 11화")</f>
        <v>그라운드의 지배자 11화</v>
      </c>
      <c r="D4886" t="str">
        <f>T("11")</f>
        <v>11</v>
      </c>
      <c r="E4886" t="str">
        <f t="shared" si="659"/>
        <v>무장</v>
      </c>
      <c r="H4886" t="str">
        <f t="shared" si="654"/>
        <v>스토리위즈</v>
      </c>
      <c r="I4886" t="str">
        <f t="shared" si="663"/>
        <v>그라운드의 지배자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T4886" t="str">
        <f t="shared" si="664"/>
        <v>9791137602120</v>
      </c>
      <c r="AV4886" t="str">
        <f t="shared" si="662"/>
        <v>판타지 웹소설 &gt; 현대 판타지</v>
      </c>
    </row>
    <row r="4887" spans="1:48" x14ac:dyDescent="0.4">
      <c r="A4887">
        <v>2313012374</v>
      </c>
      <c r="B4887">
        <v>2313012385</v>
      </c>
      <c r="C4887" t="str">
        <f>T("그라운드의 지배자 12화")</f>
        <v>그라운드의 지배자 12화</v>
      </c>
      <c r="D4887" t="str">
        <f>T("12")</f>
        <v>12</v>
      </c>
      <c r="E4887" t="str">
        <f t="shared" si="659"/>
        <v>무장</v>
      </c>
      <c r="H4887" t="str">
        <f t="shared" si="654"/>
        <v>스토리위즈</v>
      </c>
      <c r="I4887" t="str">
        <f t="shared" si="663"/>
        <v>그라운드의 지배자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T4887" t="str">
        <f t="shared" si="664"/>
        <v>9791137602120</v>
      </c>
      <c r="AV4887" t="str">
        <f t="shared" si="662"/>
        <v>판타지 웹소설 &gt; 현대 판타지</v>
      </c>
    </row>
    <row r="4888" spans="1:48" x14ac:dyDescent="0.4">
      <c r="A4888">
        <v>2313012374</v>
      </c>
      <c r="B4888">
        <v>2313012386</v>
      </c>
      <c r="C4888" t="str">
        <f>T("그라운드의 지배자 13화")</f>
        <v>그라운드의 지배자 13화</v>
      </c>
      <c r="D4888" t="str">
        <f>T("13")</f>
        <v>13</v>
      </c>
      <c r="E4888" t="str">
        <f t="shared" si="659"/>
        <v>무장</v>
      </c>
      <c r="H4888" t="str">
        <f t="shared" si="654"/>
        <v>스토리위즈</v>
      </c>
      <c r="I4888" t="str">
        <f t="shared" si="663"/>
        <v>그라운드의 지배자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T4888" t="str">
        <f t="shared" si="664"/>
        <v>9791137602120</v>
      </c>
      <c r="AV4888" t="str">
        <f t="shared" si="662"/>
        <v>판타지 웹소설 &gt; 현대 판타지</v>
      </c>
    </row>
    <row r="4889" spans="1:48" x14ac:dyDescent="0.4">
      <c r="A4889">
        <v>2313012374</v>
      </c>
      <c r="B4889">
        <v>2313012387</v>
      </c>
      <c r="C4889" t="str">
        <f>T("그라운드의 지배자 14화")</f>
        <v>그라운드의 지배자 14화</v>
      </c>
      <c r="D4889" t="str">
        <f>T("14")</f>
        <v>14</v>
      </c>
      <c r="E4889" t="str">
        <f t="shared" si="659"/>
        <v>무장</v>
      </c>
      <c r="H4889" t="str">
        <f t="shared" si="654"/>
        <v>스토리위즈</v>
      </c>
      <c r="I4889" t="str">
        <f t="shared" si="663"/>
        <v>그라운드의 지배자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T4889" t="str">
        <f t="shared" si="664"/>
        <v>9791137602120</v>
      </c>
      <c r="AV4889" t="str">
        <f t="shared" si="662"/>
        <v>판타지 웹소설 &gt; 현대 판타지</v>
      </c>
    </row>
    <row r="4890" spans="1:48" x14ac:dyDescent="0.4">
      <c r="A4890">
        <v>2313012374</v>
      </c>
      <c r="B4890">
        <v>2313012388</v>
      </c>
      <c r="C4890" t="str">
        <f>T("그라운드의 지배자 15화")</f>
        <v>그라운드의 지배자 15화</v>
      </c>
      <c r="D4890" t="str">
        <f>T("15")</f>
        <v>15</v>
      </c>
      <c r="E4890" t="str">
        <f t="shared" si="659"/>
        <v>무장</v>
      </c>
      <c r="H4890" t="str">
        <f t="shared" si="654"/>
        <v>스토리위즈</v>
      </c>
      <c r="I4890" t="str">
        <f t="shared" si="663"/>
        <v>그라운드의 지배자</v>
      </c>
      <c r="J4890">
        <v>0</v>
      </c>
      <c r="K4890">
        <v>0</v>
      </c>
      <c r="L4890">
        <v>0</v>
      </c>
      <c r="M4890">
        <v>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2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T4890" t="str">
        <f t="shared" si="664"/>
        <v>9791137602120</v>
      </c>
      <c r="AV4890" t="str">
        <f t="shared" si="662"/>
        <v>판타지 웹소설 &gt; 현대 판타지</v>
      </c>
    </row>
    <row r="4891" spans="1:48" x14ac:dyDescent="0.4">
      <c r="A4891">
        <v>2313012374</v>
      </c>
      <c r="B4891">
        <v>2313012389</v>
      </c>
      <c r="C4891" t="str">
        <f>T("그라운드의 지배자 16화")</f>
        <v>그라운드의 지배자 16화</v>
      </c>
      <c r="D4891" t="str">
        <f>T("16")</f>
        <v>16</v>
      </c>
      <c r="E4891" t="str">
        <f t="shared" si="659"/>
        <v>무장</v>
      </c>
      <c r="H4891" t="str">
        <f t="shared" si="654"/>
        <v>스토리위즈</v>
      </c>
      <c r="I4891" t="str">
        <f t="shared" si="663"/>
        <v>그라운드의 지배자</v>
      </c>
      <c r="J4891">
        <v>0</v>
      </c>
      <c r="K4891">
        <v>0</v>
      </c>
      <c r="L4891">
        <v>0</v>
      </c>
      <c r="M4891">
        <v>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2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T4891" t="str">
        <f t="shared" si="664"/>
        <v>9791137602120</v>
      </c>
      <c r="AV4891" t="str">
        <f t="shared" si="662"/>
        <v>판타지 웹소설 &gt; 현대 판타지</v>
      </c>
    </row>
    <row r="4892" spans="1:48" x14ac:dyDescent="0.4">
      <c r="A4892">
        <v>2313012374</v>
      </c>
      <c r="B4892">
        <v>2313012390</v>
      </c>
      <c r="C4892" t="str">
        <f>T("그라운드의 지배자 17화")</f>
        <v>그라운드의 지배자 17화</v>
      </c>
      <c r="D4892" t="str">
        <f>T("17")</f>
        <v>17</v>
      </c>
      <c r="E4892" t="str">
        <f t="shared" si="659"/>
        <v>무장</v>
      </c>
      <c r="H4892" t="str">
        <f t="shared" si="654"/>
        <v>스토리위즈</v>
      </c>
      <c r="I4892" t="str">
        <f t="shared" si="663"/>
        <v>그라운드의 지배자</v>
      </c>
      <c r="J4892">
        <v>0</v>
      </c>
      <c r="K4892">
        <v>0</v>
      </c>
      <c r="L4892">
        <v>0</v>
      </c>
      <c r="M4892">
        <v>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2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T4892" t="str">
        <f t="shared" si="664"/>
        <v>9791137602120</v>
      </c>
      <c r="AV4892" t="str">
        <f t="shared" si="662"/>
        <v>판타지 웹소설 &gt; 현대 판타지</v>
      </c>
    </row>
    <row r="4893" spans="1:48" x14ac:dyDescent="0.4">
      <c r="A4893">
        <v>2313012374</v>
      </c>
      <c r="B4893">
        <v>2313012391</v>
      </c>
      <c r="C4893" t="str">
        <f>T("그라운드의 지배자 18화")</f>
        <v>그라운드의 지배자 18화</v>
      </c>
      <c r="D4893" t="str">
        <f>T("18")</f>
        <v>18</v>
      </c>
      <c r="E4893" t="str">
        <f t="shared" si="659"/>
        <v>무장</v>
      </c>
      <c r="H4893" t="str">
        <f t="shared" si="654"/>
        <v>스토리위즈</v>
      </c>
      <c r="I4893" t="str">
        <f t="shared" si="663"/>
        <v>그라운드의 지배자</v>
      </c>
      <c r="J4893">
        <v>0</v>
      </c>
      <c r="K4893">
        <v>0</v>
      </c>
      <c r="L4893">
        <v>0</v>
      </c>
      <c r="M4893">
        <v>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2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T4893" t="str">
        <f t="shared" si="664"/>
        <v>9791137602120</v>
      </c>
      <c r="AV4893" t="str">
        <f t="shared" si="662"/>
        <v>판타지 웹소설 &gt; 현대 판타지</v>
      </c>
    </row>
    <row r="4894" spans="1:48" x14ac:dyDescent="0.4">
      <c r="A4894">
        <v>2313012374</v>
      </c>
      <c r="B4894">
        <v>2313012392</v>
      </c>
      <c r="C4894" t="str">
        <f>T("그라운드의 지배자 19화")</f>
        <v>그라운드의 지배자 19화</v>
      </c>
      <c r="D4894" t="str">
        <f>T("19")</f>
        <v>19</v>
      </c>
      <c r="E4894" t="str">
        <f t="shared" si="659"/>
        <v>무장</v>
      </c>
      <c r="H4894" t="str">
        <f t="shared" si="654"/>
        <v>스토리위즈</v>
      </c>
      <c r="I4894" t="str">
        <f t="shared" si="663"/>
        <v>그라운드의 지배자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2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T4894" t="str">
        <f t="shared" si="664"/>
        <v>9791137602120</v>
      </c>
      <c r="AV4894" t="str">
        <f t="shared" si="662"/>
        <v>판타지 웹소설 &gt; 현대 판타지</v>
      </c>
    </row>
    <row r="4895" spans="1:48" x14ac:dyDescent="0.4">
      <c r="A4895">
        <v>2313012374</v>
      </c>
      <c r="B4895">
        <v>2313012393</v>
      </c>
      <c r="C4895" t="str">
        <f>T("그라운드의 지배자 20화")</f>
        <v>그라운드의 지배자 20화</v>
      </c>
      <c r="D4895" t="str">
        <f>T("20")</f>
        <v>20</v>
      </c>
      <c r="E4895" t="str">
        <f t="shared" si="659"/>
        <v>무장</v>
      </c>
      <c r="H4895" t="str">
        <f t="shared" ref="H4895:H4958" si="665">T("스토리위즈")</f>
        <v>스토리위즈</v>
      </c>
      <c r="I4895" t="str">
        <f t="shared" si="663"/>
        <v>그라운드의 지배자</v>
      </c>
      <c r="J4895">
        <v>0</v>
      </c>
      <c r="K4895">
        <v>0</v>
      </c>
      <c r="L4895">
        <v>0</v>
      </c>
      <c r="M4895">
        <v>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2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T4895" t="str">
        <f t="shared" si="664"/>
        <v>9791137602120</v>
      </c>
      <c r="AV4895" t="str">
        <f t="shared" si="662"/>
        <v>판타지 웹소설 &gt; 현대 판타지</v>
      </c>
    </row>
    <row r="4896" spans="1:48" x14ac:dyDescent="0.4">
      <c r="A4896">
        <v>2313012374</v>
      </c>
      <c r="B4896">
        <v>2313012394</v>
      </c>
      <c r="C4896" t="str">
        <f>T("그라운드의 지배자 21화")</f>
        <v>그라운드의 지배자 21화</v>
      </c>
      <c r="D4896" t="str">
        <f>T("21")</f>
        <v>21</v>
      </c>
      <c r="E4896" t="str">
        <f t="shared" si="659"/>
        <v>무장</v>
      </c>
      <c r="H4896" t="str">
        <f t="shared" si="665"/>
        <v>스토리위즈</v>
      </c>
      <c r="I4896" t="str">
        <f t="shared" si="663"/>
        <v>그라운드의 지배자</v>
      </c>
      <c r="J4896">
        <v>0</v>
      </c>
      <c r="K4896">
        <v>0</v>
      </c>
      <c r="L4896">
        <v>0</v>
      </c>
      <c r="M4896">
        <v>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2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T4896" t="str">
        <f t="shared" si="664"/>
        <v>9791137602120</v>
      </c>
      <c r="AV4896" t="str">
        <f t="shared" si="662"/>
        <v>판타지 웹소설 &gt; 현대 판타지</v>
      </c>
    </row>
    <row r="4897" spans="1:48" x14ac:dyDescent="0.4">
      <c r="A4897">
        <v>2313012374</v>
      </c>
      <c r="B4897">
        <v>2313012395</v>
      </c>
      <c r="C4897" t="str">
        <f>T("그라운드의 지배자 22화")</f>
        <v>그라운드의 지배자 22화</v>
      </c>
      <c r="D4897" t="str">
        <f>T("22")</f>
        <v>22</v>
      </c>
      <c r="E4897" t="str">
        <f t="shared" si="659"/>
        <v>무장</v>
      </c>
      <c r="H4897" t="str">
        <f t="shared" si="665"/>
        <v>스토리위즈</v>
      </c>
      <c r="I4897" t="str">
        <f t="shared" si="663"/>
        <v>그라운드의 지배자</v>
      </c>
      <c r="J4897">
        <v>0</v>
      </c>
      <c r="K4897">
        <v>0</v>
      </c>
      <c r="L4897">
        <v>0</v>
      </c>
      <c r="M4897">
        <v>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2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T4897" t="str">
        <f t="shared" si="664"/>
        <v>9791137602120</v>
      </c>
      <c r="AV4897" t="str">
        <f t="shared" si="662"/>
        <v>판타지 웹소설 &gt; 현대 판타지</v>
      </c>
    </row>
    <row r="4898" spans="1:48" x14ac:dyDescent="0.4">
      <c r="A4898">
        <v>2313012374</v>
      </c>
      <c r="B4898">
        <v>2313012396</v>
      </c>
      <c r="C4898" t="str">
        <f>T("그라운드의 지배자 23화")</f>
        <v>그라운드의 지배자 23화</v>
      </c>
      <c r="D4898" t="str">
        <f>T("23")</f>
        <v>23</v>
      </c>
      <c r="E4898" t="str">
        <f t="shared" si="659"/>
        <v>무장</v>
      </c>
      <c r="H4898" t="str">
        <f t="shared" si="665"/>
        <v>스토리위즈</v>
      </c>
      <c r="I4898" t="str">
        <f t="shared" si="663"/>
        <v>그라운드의 지배자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T4898" t="str">
        <f t="shared" si="664"/>
        <v>9791137602120</v>
      </c>
      <c r="AV4898" t="str">
        <f t="shared" si="662"/>
        <v>판타지 웹소설 &gt; 현대 판타지</v>
      </c>
    </row>
    <row r="4899" spans="1:48" x14ac:dyDescent="0.4">
      <c r="A4899">
        <v>2313012374</v>
      </c>
      <c r="B4899">
        <v>2313012397</v>
      </c>
      <c r="C4899" t="str">
        <f>T("그라운드의 지배자 24화")</f>
        <v>그라운드의 지배자 24화</v>
      </c>
      <c r="D4899" t="str">
        <f>T("24")</f>
        <v>24</v>
      </c>
      <c r="E4899" t="str">
        <f t="shared" si="659"/>
        <v>무장</v>
      </c>
      <c r="H4899" t="str">
        <f t="shared" si="665"/>
        <v>스토리위즈</v>
      </c>
      <c r="I4899" t="str">
        <f t="shared" si="663"/>
        <v>그라운드의 지배자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1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T4899" t="str">
        <f t="shared" si="664"/>
        <v>9791137602120</v>
      </c>
      <c r="AV4899" t="str">
        <f t="shared" si="662"/>
        <v>판타지 웹소설 &gt; 현대 판타지</v>
      </c>
    </row>
    <row r="4900" spans="1:48" x14ac:dyDescent="0.4">
      <c r="A4900">
        <v>2313012374</v>
      </c>
      <c r="B4900">
        <v>2313012398</v>
      </c>
      <c r="C4900" t="str">
        <f>T("그라운드의 지배자 25화")</f>
        <v>그라운드의 지배자 25화</v>
      </c>
      <c r="D4900" t="str">
        <f>T("25")</f>
        <v>25</v>
      </c>
      <c r="E4900" t="str">
        <f t="shared" si="659"/>
        <v>무장</v>
      </c>
      <c r="H4900" t="str">
        <f t="shared" si="665"/>
        <v>스토리위즈</v>
      </c>
      <c r="I4900" t="str">
        <f t="shared" si="663"/>
        <v>그라운드의 지배자</v>
      </c>
      <c r="J4900">
        <v>0</v>
      </c>
      <c r="K4900">
        <v>0</v>
      </c>
      <c r="L4900">
        <v>0</v>
      </c>
      <c r="M4900">
        <v>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T4900" t="str">
        <f t="shared" si="664"/>
        <v>9791137602120</v>
      </c>
      <c r="AV4900" t="str">
        <f t="shared" si="662"/>
        <v>판타지 웹소설 &gt; 현대 판타지</v>
      </c>
    </row>
    <row r="4901" spans="1:48" x14ac:dyDescent="0.4">
      <c r="A4901">
        <v>2313012798</v>
      </c>
      <c r="B4901">
        <v>2313012798</v>
      </c>
      <c r="C4901" t="str">
        <f>T("[e북]강호유정 1")</f>
        <v>[e북]강호유정 1</v>
      </c>
      <c r="D4901" t="str">
        <f>T("1")</f>
        <v>1</v>
      </c>
      <c r="E4901" t="str">
        <f t="shared" si="659"/>
        <v>무장</v>
      </c>
      <c r="H4901" t="str">
        <f t="shared" si="665"/>
        <v>스토리위즈</v>
      </c>
      <c r="I4901" t="str">
        <f>T("[e북]강호유정")</f>
        <v>[e북]강호유정</v>
      </c>
      <c r="J4901">
        <v>0</v>
      </c>
      <c r="K4901">
        <v>0</v>
      </c>
      <c r="L4901">
        <v>0</v>
      </c>
      <c r="M4901">
        <v>6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6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R4901" t="str">
        <f>T("9788928010615")</f>
        <v>9788928010615</v>
      </c>
      <c r="AT4901" t="str">
        <f>T("9791137602601")</f>
        <v>9791137602601</v>
      </c>
      <c r="AU4901" t="str">
        <f>T("BOOKCUBE.131100761")</f>
        <v>BOOKCUBE.131100761</v>
      </c>
      <c r="AV4901" t="str">
        <f>T("판타지 e북 &gt; 신무협")</f>
        <v>판타지 e북 &gt; 신무협</v>
      </c>
    </row>
    <row r="4902" spans="1:48" x14ac:dyDescent="0.4">
      <c r="A4902">
        <v>2313012805</v>
      </c>
      <c r="B4902">
        <v>2313012805</v>
      </c>
      <c r="C4902" t="str">
        <f>T("[e북]그라운드의 지배자 1권")</f>
        <v>[e북]그라운드의 지배자 1권</v>
      </c>
      <c r="D4902" t="str">
        <f>T("1")</f>
        <v>1</v>
      </c>
      <c r="E4902" t="str">
        <f t="shared" si="659"/>
        <v>무장</v>
      </c>
      <c r="H4902" t="str">
        <f t="shared" si="665"/>
        <v>스토리위즈</v>
      </c>
      <c r="I4902" t="str">
        <f>T("[e북]그라운드의 지배자")</f>
        <v>[e북]그라운드의 지배자</v>
      </c>
      <c r="J4902">
        <v>0</v>
      </c>
      <c r="K4902">
        <v>0</v>
      </c>
      <c r="L4902">
        <v>0</v>
      </c>
      <c r="M4902">
        <v>5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5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R4902" t="str">
        <f>T("9788928064922")</f>
        <v>9788928064922</v>
      </c>
      <c r="AT4902" t="str">
        <f>T("9791137602489")</f>
        <v>9791137602489</v>
      </c>
      <c r="AV4902" t="str">
        <f>T("판타지 e북 &gt; 스포츠물")</f>
        <v>판타지 e북 &gt; 스포츠물</v>
      </c>
    </row>
    <row r="4903" spans="1:48" x14ac:dyDescent="0.4">
      <c r="A4903">
        <v>2313012817</v>
      </c>
      <c r="B4903">
        <v>2313012817</v>
      </c>
      <c r="C4903" t="str">
        <f>T("[e북]갓 오브 블랙필드 1권")</f>
        <v>[e북]갓 오브 블랙필드 1권</v>
      </c>
      <c r="D4903" t="str">
        <f>T("1")</f>
        <v>1</v>
      </c>
      <c r="E4903" t="str">
        <f t="shared" si="659"/>
        <v>무장</v>
      </c>
      <c r="H4903" t="str">
        <f t="shared" si="665"/>
        <v>스토리위즈</v>
      </c>
      <c r="I4903" t="str">
        <f>T("[e북]갓 오브 블랙필드")</f>
        <v>[e북]갓 오브 블랙필드</v>
      </c>
      <c r="J4903">
        <v>0</v>
      </c>
      <c r="K4903">
        <v>0</v>
      </c>
      <c r="L4903">
        <v>0</v>
      </c>
      <c r="M4903">
        <v>35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35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R4903" t="str">
        <f>T("0000000000000")</f>
        <v>0000000000000</v>
      </c>
      <c r="AT4903" t="str">
        <f>T("9791137602144")</f>
        <v>9791137602144</v>
      </c>
      <c r="AV4903" t="str">
        <f>T("판타지 e북 &gt; 현대 판타지")</f>
        <v>판타지 e북 &gt; 현대 판타지</v>
      </c>
    </row>
    <row r="4904" spans="1:48" x14ac:dyDescent="0.4">
      <c r="A4904">
        <v>2313012849</v>
      </c>
      <c r="B4904">
        <v>2313012849</v>
      </c>
      <c r="C4904" t="str">
        <f>T("디버프 마스터 1화")</f>
        <v>디버프 마스터 1화</v>
      </c>
      <c r="D4904" t="str">
        <f>T("1")</f>
        <v>1</v>
      </c>
      <c r="E4904" t="str">
        <f t="shared" ref="E4904:E4928" si="666">T("담화공")</f>
        <v>담화공</v>
      </c>
      <c r="H4904" t="str">
        <f t="shared" si="665"/>
        <v>스토리위즈</v>
      </c>
      <c r="I4904" t="str">
        <f t="shared" ref="I4904:I4928" si="667">T("디버프 마스터")</f>
        <v>디버프 마스터</v>
      </c>
      <c r="J4904">
        <v>0</v>
      </c>
      <c r="K4904">
        <v>0</v>
      </c>
      <c r="L4904">
        <v>0</v>
      </c>
      <c r="M4904">
        <v>131</v>
      </c>
      <c r="N4904">
        <v>0</v>
      </c>
      <c r="O4904">
        <v>0</v>
      </c>
      <c r="P4904">
        <v>149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280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T4904" t="str">
        <f t="shared" ref="AT4904:AT4928" si="668">T("9791137602663")</f>
        <v>9791137602663</v>
      </c>
      <c r="AV4904" t="str">
        <f t="shared" ref="AV4904:AV4967" si="669">T("판타지 웹소설 &gt; 퓨전 판타지")</f>
        <v>판타지 웹소설 &gt; 퓨전 판타지</v>
      </c>
    </row>
    <row r="4905" spans="1:48" x14ac:dyDescent="0.4">
      <c r="A4905">
        <v>2313012849</v>
      </c>
      <c r="B4905">
        <v>2313012850</v>
      </c>
      <c r="C4905" t="str">
        <f>T("디버프 마스터 2화")</f>
        <v>디버프 마스터 2화</v>
      </c>
      <c r="D4905" t="str">
        <f>T("2")</f>
        <v>2</v>
      </c>
      <c r="E4905" t="str">
        <f t="shared" si="666"/>
        <v>담화공</v>
      </c>
      <c r="H4905" t="str">
        <f t="shared" si="665"/>
        <v>스토리위즈</v>
      </c>
      <c r="I4905" t="str">
        <f t="shared" si="667"/>
        <v>디버프 마스터</v>
      </c>
      <c r="J4905">
        <v>0</v>
      </c>
      <c r="K4905">
        <v>0</v>
      </c>
      <c r="L4905">
        <v>0</v>
      </c>
      <c r="M4905">
        <v>157</v>
      </c>
      <c r="N4905">
        <v>0</v>
      </c>
      <c r="O4905">
        <v>0</v>
      </c>
      <c r="P4905">
        <v>87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244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T4905" t="str">
        <f t="shared" si="668"/>
        <v>9791137602663</v>
      </c>
      <c r="AV4905" t="str">
        <f t="shared" si="669"/>
        <v>판타지 웹소설 &gt; 퓨전 판타지</v>
      </c>
    </row>
    <row r="4906" spans="1:48" x14ac:dyDescent="0.4">
      <c r="A4906">
        <v>2313012849</v>
      </c>
      <c r="B4906">
        <v>2313012851</v>
      </c>
      <c r="C4906" t="str">
        <f>T("디버프 마스터 3화")</f>
        <v>디버프 마스터 3화</v>
      </c>
      <c r="D4906" t="str">
        <f>T("3")</f>
        <v>3</v>
      </c>
      <c r="E4906" t="str">
        <f t="shared" si="666"/>
        <v>담화공</v>
      </c>
      <c r="H4906" t="str">
        <f t="shared" si="665"/>
        <v>스토리위즈</v>
      </c>
      <c r="I4906" t="str">
        <f t="shared" si="667"/>
        <v>디버프 마스터</v>
      </c>
      <c r="J4906">
        <v>0</v>
      </c>
      <c r="K4906">
        <v>0</v>
      </c>
      <c r="L4906">
        <v>0</v>
      </c>
      <c r="M4906">
        <v>150</v>
      </c>
      <c r="N4906">
        <v>0</v>
      </c>
      <c r="O4906">
        <v>0</v>
      </c>
      <c r="P4906">
        <v>84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234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T4906" t="str">
        <f t="shared" si="668"/>
        <v>9791137602663</v>
      </c>
      <c r="AV4906" t="str">
        <f t="shared" si="669"/>
        <v>판타지 웹소설 &gt; 퓨전 판타지</v>
      </c>
    </row>
    <row r="4907" spans="1:48" x14ac:dyDescent="0.4">
      <c r="A4907">
        <v>2313012849</v>
      </c>
      <c r="B4907">
        <v>2313012852</v>
      </c>
      <c r="C4907" t="str">
        <f>T("디버프 마스터 4화")</f>
        <v>디버프 마스터 4화</v>
      </c>
      <c r="D4907" t="str">
        <f>T("4")</f>
        <v>4</v>
      </c>
      <c r="E4907" t="str">
        <f t="shared" si="666"/>
        <v>담화공</v>
      </c>
      <c r="H4907" t="str">
        <f t="shared" si="665"/>
        <v>스토리위즈</v>
      </c>
      <c r="I4907" t="str">
        <f t="shared" si="667"/>
        <v>디버프 마스터</v>
      </c>
      <c r="J4907">
        <v>0</v>
      </c>
      <c r="K4907">
        <v>0</v>
      </c>
      <c r="L4907">
        <v>0</v>
      </c>
      <c r="M4907">
        <v>147</v>
      </c>
      <c r="N4907">
        <v>0</v>
      </c>
      <c r="O4907">
        <v>0</v>
      </c>
      <c r="P4907">
        <v>83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230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T4907" t="str">
        <f t="shared" si="668"/>
        <v>9791137602663</v>
      </c>
      <c r="AV4907" t="str">
        <f t="shared" si="669"/>
        <v>판타지 웹소설 &gt; 퓨전 판타지</v>
      </c>
    </row>
    <row r="4908" spans="1:48" x14ac:dyDescent="0.4">
      <c r="A4908">
        <v>2313012849</v>
      </c>
      <c r="B4908">
        <v>2313012853</v>
      </c>
      <c r="C4908" t="str">
        <f>T("디버프 마스터 5화")</f>
        <v>디버프 마스터 5화</v>
      </c>
      <c r="D4908" t="str">
        <f>T("5")</f>
        <v>5</v>
      </c>
      <c r="E4908" t="str">
        <f t="shared" si="666"/>
        <v>담화공</v>
      </c>
      <c r="H4908" t="str">
        <f t="shared" si="665"/>
        <v>스토리위즈</v>
      </c>
      <c r="I4908" t="str">
        <f t="shared" si="667"/>
        <v>디버프 마스터</v>
      </c>
      <c r="J4908">
        <v>0</v>
      </c>
      <c r="K4908">
        <v>0</v>
      </c>
      <c r="L4908">
        <v>0</v>
      </c>
      <c r="M4908">
        <v>149</v>
      </c>
      <c r="N4908">
        <v>0</v>
      </c>
      <c r="O4908">
        <v>0</v>
      </c>
      <c r="P4908">
        <v>83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232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T4908" t="str">
        <f t="shared" si="668"/>
        <v>9791137602663</v>
      </c>
      <c r="AV4908" t="str">
        <f t="shared" si="669"/>
        <v>판타지 웹소설 &gt; 퓨전 판타지</v>
      </c>
    </row>
    <row r="4909" spans="1:48" x14ac:dyDescent="0.4">
      <c r="A4909">
        <v>2313012849</v>
      </c>
      <c r="B4909">
        <v>2313012854</v>
      </c>
      <c r="C4909" t="str">
        <f>T("디버프 마스터 6화")</f>
        <v>디버프 마스터 6화</v>
      </c>
      <c r="D4909" t="str">
        <f>T("6")</f>
        <v>6</v>
      </c>
      <c r="E4909" t="str">
        <f t="shared" si="666"/>
        <v>담화공</v>
      </c>
      <c r="H4909" t="str">
        <f t="shared" si="665"/>
        <v>스토리위즈</v>
      </c>
      <c r="I4909" t="str">
        <f t="shared" si="667"/>
        <v>디버프 마스터</v>
      </c>
      <c r="J4909">
        <v>0</v>
      </c>
      <c r="K4909">
        <v>0</v>
      </c>
      <c r="L4909">
        <v>0</v>
      </c>
      <c r="M4909">
        <v>151</v>
      </c>
      <c r="N4909">
        <v>0</v>
      </c>
      <c r="O4909">
        <v>0</v>
      </c>
      <c r="P4909">
        <v>84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235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T4909" t="str">
        <f t="shared" si="668"/>
        <v>9791137602663</v>
      </c>
      <c r="AV4909" t="str">
        <f t="shared" si="669"/>
        <v>판타지 웹소설 &gt; 퓨전 판타지</v>
      </c>
    </row>
    <row r="4910" spans="1:48" x14ac:dyDescent="0.4">
      <c r="A4910">
        <v>2313012849</v>
      </c>
      <c r="B4910">
        <v>2313012855</v>
      </c>
      <c r="C4910" t="str">
        <f>T("디버프 마스터 7화")</f>
        <v>디버프 마스터 7화</v>
      </c>
      <c r="D4910" t="str">
        <f>T("7")</f>
        <v>7</v>
      </c>
      <c r="E4910" t="str">
        <f t="shared" si="666"/>
        <v>담화공</v>
      </c>
      <c r="H4910" t="str">
        <f t="shared" si="665"/>
        <v>스토리위즈</v>
      </c>
      <c r="I4910" t="str">
        <f t="shared" si="667"/>
        <v>디버프 마스터</v>
      </c>
      <c r="J4910">
        <v>0</v>
      </c>
      <c r="K4910">
        <v>0</v>
      </c>
      <c r="L4910">
        <v>0</v>
      </c>
      <c r="M4910">
        <v>153</v>
      </c>
      <c r="N4910">
        <v>0</v>
      </c>
      <c r="O4910">
        <v>0</v>
      </c>
      <c r="P4910">
        <v>86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239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T4910" t="str">
        <f t="shared" si="668"/>
        <v>9791137602663</v>
      </c>
      <c r="AV4910" t="str">
        <f t="shared" si="669"/>
        <v>판타지 웹소설 &gt; 퓨전 판타지</v>
      </c>
    </row>
    <row r="4911" spans="1:48" x14ac:dyDescent="0.4">
      <c r="A4911">
        <v>2313012849</v>
      </c>
      <c r="B4911">
        <v>2313012856</v>
      </c>
      <c r="C4911" t="str">
        <f>T("디버프 마스터 8화")</f>
        <v>디버프 마스터 8화</v>
      </c>
      <c r="D4911" t="str">
        <f>T("8")</f>
        <v>8</v>
      </c>
      <c r="E4911" t="str">
        <f t="shared" si="666"/>
        <v>담화공</v>
      </c>
      <c r="H4911" t="str">
        <f t="shared" si="665"/>
        <v>스토리위즈</v>
      </c>
      <c r="I4911" t="str">
        <f t="shared" si="667"/>
        <v>디버프 마스터</v>
      </c>
      <c r="J4911">
        <v>0</v>
      </c>
      <c r="K4911">
        <v>0</v>
      </c>
      <c r="L4911">
        <v>0</v>
      </c>
      <c r="M4911">
        <v>151</v>
      </c>
      <c r="N4911">
        <v>0</v>
      </c>
      <c r="O4911">
        <v>0</v>
      </c>
      <c r="P4911">
        <v>85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236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T4911" t="str">
        <f t="shared" si="668"/>
        <v>9791137602663</v>
      </c>
      <c r="AV4911" t="str">
        <f t="shared" si="669"/>
        <v>판타지 웹소설 &gt; 퓨전 판타지</v>
      </c>
    </row>
    <row r="4912" spans="1:48" x14ac:dyDescent="0.4">
      <c r="A4912">
        <v>2313012849</v>
      </c>
      <c r="B4912">
        <v>2313012857</v>
      </c>
      <c r="C4912" t="str">
        <f>T("디버프 마스터 9화")</f>
        <v>디버프 마스터 9화</v>
      </c>
      <c r="D4912" t="str">
        <f>T("9")</f>
        <v>9</v>
      </c>
      <c r="E4912" t="str">
        <f t="shared" si="666"/>
        <v>담화공</v>
      </c>
      <c r="H4912" t="str">
        <f t="shared" si="665"/>
        <v>스토리위즈</v>
      </c>
      <c r="I4912" t="str">
        <f t="shared" si="667"/>
        <v>디버프 마스터</v>
      </c>
      <c r="J4912">
        <v>0</v>
      </c>
      <c r="K4912">
        <v>0</v>
      </c>
      <c r="L4912">
        <v>0</v>
      </c>
      <c r="M4912">
        <v>150</v>
      </c>
      <c r="N4912">
        <v>0</v>
      </c>
      <c r="O4912">
        <v>0</v>
      </c>
      <c r="P4912">
        <v>85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235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T4912" t="str">
        <f t="shared" si="668"/>
        <v>9791137602663</v>
      </c>
      <c r="AV4912" t="str">
        <f t="shared" si="669"/>
        <v>판타지 웹소설 &gt; 퓨전 판타지</v>
      </c>
    </row>
    <row r="4913" spans="1:48" x14ac:dyDescent="0.4">
      <c r="A4913">
        <v>2313012849</v>
      </c>
      <c r="B4913">
        <v>2313012858</v>
      </c>
      <c r="C4913" t="str">
        <f>T("디버프 마스터 10화")</f>
        <v>디버프 마스터 10화</v>
      </c>
      <c r="D4913" t="str">
        <f>T("10")</f>
        <v>10</v>
      </c>
      <c r="E4913" t="str">
        <f t="shared" si="666"/>
        <v>담화공</v>
      </c>
      <c r="H4913" t="str">
        <f t="shared" si="665"/>
        <v>스토리위즈</v>
      </c>
      <c r="I4913" t="str">
        <f t="shared" si="667"/>
        <v>디버프 마스터</v>
      </c>
      <c r="J4913">
        <v>0</v>
      </c>
      <c r="K4913">
        <v>0</v>
      </c>
      <c r="L4913">
        <v>0</v>
      </c>
      <c r="M4913">
        <v>149</v>
      </c>
      <c r="N4913">
        <v>0</v>
      </c>
      <c r="O4913">
        <v>0</v>
      </c>
      <c r="P4913">
        <v>85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234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T4913" t="str">
        <f t="shared" si="668"/>
        <v>9791137602663</v>
      </c>
      <c r="AV4913" t="str">
        <f t="shared" si="669"/>
        <v>판타지 웹소설 &gt; 퓨전 판타지</v>
      </c>
    </row>
    <row r="4914" spans="1:48" x14ac:dyDescent="0.4">
      <c r="A4914">
        <v>2313012849</v>
      </c>
      <c r="B4914">
        <v>2313012859</v>
      </c>
      <c r="C4914" t="str">
        <f>T("디버프 마스터 11화")</f>
        <v>디버프 마스터 11화</v>
      </c>
      <c r="D4914" t="str">
        <f>T("11")</f>
        <v>11</v>
      </c>
      <c r="E4914" t="str">
        <f t="shared" si="666"/>
        <v>담화공</v>
      </c>
      <c r="H4914" t="str">
        <f t="shared" si="665"/>
        <v>스토리위즈</v>
      </c>
      <c r="I4914" t="str">
        <f t="shared" si="667"/>
        <v>디버프 마스터</v>
      </c>
      <c r="J4914">
        <v>0</v>
      </c>
      <c r="K4914">
        <v>0</v>
      </c>
      <c r="L4914">
        <v>0</v>
      </c>
      <c r="M4914">
        <v>147</v>
      </c>
      <c r="N4914">
        <v>0</v>
      </c>
      <c r="O4914">
        <v>0</v>
      </c>
      <c r="P4914">
        <v>84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231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T4914" t="str">
        <f t="shared" si="668"/>
        <v>9791137602663</v>
      </c>
      <c r="AV4914" t="str">
        <f t="shared" si="669"/>
        <v>판타지 웹소설 &gt; 퓨전 판타지</v>
      </c>
    </row>
    <row r="4915" spans="1:48" x14ac:dyDescent="0.4">
      <c r="A4915">
        <v>2313012849</v>
      </c>
      <c r="B4915">
        <v>2313012860</v>
      </c>
      <c r="C4915" t="str">
        <f>T("디버프 마스터 12화")</f>
        <v>디버프 마스터 12화</v>
      </c>
      <c r="D4915" t="str">
        <f>T("12")</f>
        <v>12</v>
      </c>
      <c r="E4915" t="str">
        <f t="shared" si="666"/>
        <v>담화공</v>
      </c>
      <c r="H4915" t="str">
        <f t="shared" si="665"/>
        <v>스토리위즈</v>
      </c>
      <c r="I4915" t="str">
        <f t="shared" si="667"/>
        <v>디버프 마스터</v>
      </c>
      <c r="J4915">
        <v>0</v>
      </c>
      <c r="K4915">
        <v>0</v>
      </c>
      <c r="L4915">
        <v>0</v>
      </c>
      <c r="M4915">
        <v>146</v>
      </c>
      <c r="N4915">
        <v>0</v>
      </c>
      <c r="O4915">
        <v>0</v>
      </c>
      <c r="P4915">
        <v>85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231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T4915" t="str">
        <f t="shared" si="668"/>
        <v>9791137602663</v>
      </c>
      <c r="AV4915" t="str">
        <f t="shared" si="669"/>
        <v>판타지 웹소설 &gt; 퓨전 판타지</v>
      </c>
    </row>
    <row r="4916" spans="1:48" x14ac:dyDescent="0.4">
      <c r="A4916">
        <v>2313012849</v>
      </c>
      <c r="B4916">
        <v>2313012861</v>
      </c>
      <c r="C4916" t="str">
        <f>T("디버프 마스터 13화")</f>
        <v>디버프 마스터 13화</v>
      </c>
      <c r="D4916" t="str">
        <f>T("13")</f>
        <v>13</v>
      </c>
      <c r="E4916" t="str">
        <f t="shared" si="666"/>
        <v>담화공</v>
      </c>
      <c r="H4916" t="str">
        <f t="shared" si="665"/>
        <v>스토리위즈</v>
      </c>
      <c r="I4916" t="str">
        <f t="shared" si="667"/>
        <v>디버프 마스터</v>
      </c>
      <c r="J4916">
        <v>0</v>
      </c>
      <c r="K4916">
        <v>0</v>
      </c>
      <c r="L4916">
        <v>0</v>
      </c>
      <c r="M4916">
        <v>145</v>
      </c>
      <c r="N4916">
        <v>0</v>
      </c>
      <c r="O4916">
        <v>0</v>
      </c>
      <c r="P4916">
        <v>85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230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T4916" t="str">
        <f t="shared" si="668"/>
        <v>9791137602663</v>
      </c>
      <c r="AV4916" t="str">
        <f t="shared" si="669"/>
        <v>판타지 웹소설 &gt; 퓨전 판타지</v>
      </c>
    </row>
    <row r="4917" spans="1:48" x14ac:dyDescent="0.4">
      <c r="A4917">
        <v>2313012849</v>
      </c>
      <c r="B4917">
        <v>2313012862</v>
      </c>
      <c r="C4917" t="str">
        <f>T("디버프 마스터 14화")</f>
        <v>디버프 마스터 14화</v>
      </c>
      <c r="D4917" t="str">
        <f>T("14")</f>
        <v>14</v>
      </c>
      <c r="E4917" t="str">
        <f t="shared" si="666"/>
        <v>담화공</v>
      </c>
      <c r="H4917" t="str">
        <f t="shared" si="665"/>
        <v>스토리위즈</v>
      </c>
      <c r="I4917" t="str">
        <f t="shared" si="667"/>
        <v>디버프 마스터</v>
      </c>
      <c r="J4917">
        <v>0</v>
      </c>
      <c r="K4917">
        <v>0</v>
      </c>
      <c r="L4917">
        <v>0</v>
      </c>
      <c r="M4917">
        <v>143</v>
      </c>
      <c r="N4917">
        <v>0</v>
      </c>
      <c r="O4917">
        <v>0</v>
      </c>
      <c r="P4917">
        <v>85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228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T4917" t="str">
        <f t="shared" si="668"/>
        <v>9791137602663</v>
      </c>
      <c r="AV4917" t="str">
        <f t="shared" si="669"/>
        <v>판타지 웹소설 &gt; 퓨전 판타지</v>
      </c>
    </row>
    <row r="4918" spans="1:48" x14ac:dyDescent="0.4">
      <c r="A4918">
        <v>2313012849</v>
      </c>
      <c r="B4918">
        <v>2313012863</v>
      </c>
      <c r="C4918" t="str">
        <f>T("디버프 마스터 15화")</f>
        <v>디버프 마스터 15화</v>
      </c>
      <c r="D4918" t="str">
        <f>T("15")</f>
        <v>15</v>
      </c>
      <c r="E4918" t="str">
        <f t="shared" si="666"/>
        <v>담화공</v>
      </c>
      <c r="H4918" t="str">
        <f t="shared" si="665"/>
        <v>스토리위즈</v>
      </c>
      <c r="I4918" t="str">
        <f t="shared" si="667"/>
        <v>디버프 마스터</v>
      </c>
      <c r="J4918">
        <v>0</v>
      </c>
      <c r="K4918">
        <v>0</v>
      </c>
      <c r="L4918">
        <v>0</v>
      </c>
      <c r="M4918">
        <v>143</v>
      </c>
      <c r="N4918">
        <v>0</v>
      </c>
      <c r="O4918">
        <v>0</v>
      </c>
      <c r="P4918">
        <v>85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228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T4918" t="str">
        <f t="shared" si="668"/>
        <v>9791137602663</v>
      </c>
      <c r="AV4918" t="str">
        <f t="shared" si="669"/>
        <v>판타지 웹소설 &gt; 퓨전 판타지</v>
      </c>
    </row>
    <row r="4919" spans="1:48" x14ac:dyDescent="0.4">
      <c r="A4919">
        <v>2313012849</v>
      </c>
      <c r="B4919">
        <v>2313012864</v>
      </c>
      <c r="C4919" t="str">
        <f>T("디버프 마스터 16화")</f>
        <v>디버프 마스터 16화</v>
      </c>
      <c r="D4919" t="str">
        <f>T("16")</f>
        <v>16</v>
      </c>
      <c r="E4919" t="str">
        <f t="shared" si="666"/>
        <v>담화공</v>
      </c>
      <c r="H4919" t="str">
        <f t="shared" si="665"/>
        <v>스토리위즈</v>
      </c>
      <c r="I4919" t="str">
        <f t="shared" si="667"/>
        <v>디버프 마스터</v>
      </c>
      <c r="J4919">
        <v>0</v>
      </c>
      <c r="K4919">
        <v>0</v>
      </c>
      <c r="L4919">
        <v>0</v>
      </c>
      <c r="M4919">
        <v>141</v>
      </c>
      <c r="N4919">
        <v>0</v>
      </c>
      <c r="O4919">
        <v>0</v>
      </c>
      <c r="P4919">
        <v>85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226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T4919" t="str">
        <f t="shared" si="668"/>
        <v>9791137602663</v>
      </c>
      <c r="AV4919" t="str">
        <f t="shared" si="669"/>
        <v>판타지 웹소설 &gt; 퓨전 판타지</v>
      </c>
    </row>
    <row r="4920" spans="1:48" x14ac:dyDescent="0.4">
      <c r="A4920">
        <v>2313012849</v>
      </c>
      <c r="B4920">
        <v>2313012865</v>
      </c>
      <c r="C4920" t="str">
        <f>T("디버프 마스터 17화")</f>
        <v>디버프 마스터 17화</v>
      </c>
      <c r="D4920" t="str">
        <f>T("17")</f>
        <v>17</v>
      </c>
      <c r="E4920" t="str">
        <f t="shared" si="666"/>
        <v>담화공</v>
      </c>
      <c r="H4920" t="str">
        <f t="shared" si="665"/>
        <v>스토리위즈</v>
      </c>
      <c r="I4920" t="str">
        <f t="shared" si="667"/>
        <v>디버프 마스터</v>
      </c>
      <c r="J4920">
        <v>0</v>
      </c>
      <c r="K4920">
        <v>0</v>
      </c>
      <c r="L4920">
        <v>0</v>
      </c>
      <c r="M4920">
        <v>140</v>
      </c>
      <c r="N4920">
        <v>0</v>
      </c>
      <c r="O4920">
        <v>0</v>
      </c>
      <c r="P4920">
        <v>85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225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T4920" t="str">
        <f t="shared" si="668"/>
        <v>9791137602663</v>
      </c>
      <c r="AV4920" t="str">
        <f t="shared" si="669"/>
        <v>판타지 웹소설 &gt; 퓨전 판타지</v>
      </c>
    </row>
    <row r="4921" spans="1:48" x14ac:dyDescent="0.4">
      <c r="A4921">
        <v>2313012849</v>
      </c>
      <c r="B4921">
        <v>2313012866</v>
      </c>
      <c r="C4921" t="str">
        <f>T("디버프 마스터 18화")</f>
        <v>디버프 마스터 18화</v>
      </c>
      <c r="D4921" t="str">
        <f>T("18")</f>
        <v>18</v>
      </c>
      <c r="E4921" t="str">
        <f t="shared" si="666"/>
        <v>담화공</v>
      </c>
      <c r="H4921" t="str">
        <f t="shared" si="665"/>
        <v>스토리위즈</v>
      </c>
      <c r="I4921" t="str">
        <f t="shared" si="667"/>
        <v>디버프 마스터</v>
      </c>
      <c r="J4921">
        <v>0</v>
      </c>
      <c r="K4921">
        <v>0</v>
      </c>
      <c r="L4921">
        <v>0</v>
      </c>
      <c r="M4921">
        <v>141</v>
      </c>
      <c r="N4921">
        <v>0</v>
      </c>
      <c r="O4921">
        <v>0</v>
      </c>
      <c r="P4921">
        <v>85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226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T4921" t="str">
        <f t="shared" si="668"/>
        <v>9791137602663</v>
      </c>
      <c r="AV4921" t="str">
        <f t="shared" si="669"/>
        <v>판타지 웹소설 &gt; 퓨전 판타지</v>
      </c>
    </row>
    <row r="4922" spans="1:48" x14ac:dyDescent="0.4">
      <c r="A4922">
        <v>2313012849</v>
      </c>
      <c r="B4922">
        <v>2313012867</v>
      </c>
      <c r="C4922" t="str">
        <f>T("디버프 마스터 19화")</f>
        <v>디버프 마스터 19화</v>
      </c>
      <c r="D4922" t="str">
        <f>T("19")</f>
        <v>19</v>
      </c>
      <c r="E4922" t="str">
        <f t="shared" si="666"/>
        <v>담화공</v>
      </c>
      <c r="H4922" t="str">
        <f t="shared" si="665"/>
        <v>스토리위즈</v>
      </c>
      <c r="I4922" t="str">
        <f t="shared" si="667"/>
        <v>디버프 마스터</v>
      </c>
      <c r="J4922">
        <v>0</v>
      </c>
      <c r="K4922">
        <v>0</v>
      </c>
      <c r="L4922">
        <v>0</v>
      </c>
      <c r="M4922">
        <v>138</v>
      </c>
      <c r="N4922">
        <v>0</v>
      </c>
      <c r="O4922">
        <v>0</v>
      </c>
      <c r="P4922">
        <v>85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223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T4922" t="str">
        <f t="shared" si="668"/>
        <v>9791137602663</v>
      </c>
      <c r="AV4922" t="str">
        <f t="shared" si="669"/>
        <v>판타지 웹소설 &gt; 퓨전 판타지</v>
      </c>
    </row>
    <row r="4923" spans="1:48" x14ac:dyDescent="0.4">
      <c r="A4923">
        <v>2313012849</v>
      </c>
      <c r="B4923">
        <v>2313012868</v>
      </c>
      <c r="C4923" t="str">
        <f>T("디버프 마스터 20화")</f>
        <v>디버프 마스터 20화</v>
      </c>
      <c r="D4923" t="str">
        <f>T("20")</f>
        <v>20</v>
      </c>
      <c r="E4923" t="str">
        <f t="shared" si="666"/>
        <v>담화공</v>
      </c>
      <c r="H4923" t="str">
        <f t="shared" si="665"/>
        <v>스토리위즈</v>
      </c>
      <c r="I4923" t="str">
        <f t="shared" si="667"/>
        <v>디버프 마스터</v>
      </c>
      <c r="J4923">
        <v>0</v>
      </c>
      <c r="K4923">
        <v>0</v>
      </c>
      <c r="L4923">
        <v>0</v>
      </c>
      <c r="M4923">
        <v>134</v>
      </c>
      <c r="N4923">
        <v>0</v>
      </c>
      <c r="O4923">
        <v>0</v>
      </c>
      <c r="P4923">
        <v>85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219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T4923" t="str">
        <f t="shared" si="668"/>
        <v>9791137602663</v>
      </c>
      <c r="AV4923" t="str">
        <f t="shared" si="669"/>
        <v>판타지 웹소설 &gt; 퓨전 판타지</v>
      </c>
    </row>
    <row r="4924" spans="1:48" x14ac:dyDescent="0.4">
      <c r="A4924">
        <v>2313012849</v>
      </c>
      <c r="B4924">
        <v>2313012869</v>
      </c>
      <c r="C4924" t="str">
        <f>T("디버프 마스터 21화")</f>
        <v>디버프 마스터 21화</v>
      </c>
      <c r="D4924" t="str">
        <f>T("21")</f>
        <v>21</v>
      </c>
      <c r="E4924" t="str">
        <f t="shared" si="666"/>
        <v>담화공</v>
      </c>
      <c r="H4924" t="str">
        <f t="shared" si="665"/>
        <v>스토리위즈</v>
      </c>
      <c r="I4924" t="str">
        <f t="shared" si="667"/>
        <v>디버프 마스터</v>
      </c>
      <c r="J4924">
        <v>0</v>
      </c>
      <c r="K4924">
        <v>0</v>
      </c>
      <c r="L4924">
        <v>0</v>
      </c>
      <c r="M4924">
        <v>135</v>
      </c>
      <c r="N4924">
        <v>0</v>
      </c>
      <c r="O4924">
        <v>0</v>
      </c>
      <c r="P4924">
        <v>85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220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T4924" t="str">
        <f t="shared" si="668"/>
        <v>9791137602663</v>
      </c>
      <c r="AV4924" t="str">
        <f t="shared" si="669"/>
        <v>판타지 웹소설 &gt; 퓨전 판타지</v>
      </c>
    </row>
    <row r="4925" spans="1:48" x14ac:dyDescent="0.4">
      <c r="A4925">
        <v>2313012849</v>
      </c>
      <c r="B4925">
        <v>2313012870</v>
      </c>
      <c r="C4925" t="str">
        <f>T("디버프 마스터 22화")</f>
        <v>디버프 마스터 22화</v>
      </c>
      <c r="D4925" t="str">
        <f>T("22")</f>
        <v>22</v>
      </c>
      <c r="E4925" t="str">
        <f t="shared" si="666"/>
        <v>담화공</v>
      </c>
      <c r="H4925" t="str">
        <f t="shared" si="665"/>
        <v>스토리위즈</v>
      </c>
      <c r="I4925" t="str">
        <f t="shared" si="667"/>
        <v>디버프 마스터</v>
      </c>
      <c r="J4925">
        <v>0</v>
      </c>
      <c r="K4925">
        <v>0</v>
      </c>
      <c r="L4925">
        <v>0</v>
      </c>
      <c r="M4925">
        <v>136</v>
      </c>
      <c r="N4925">
        <v>0</v>
      </c>
      <c r="O4925">
        <v>0</v>
      </c>
      <c r="P4925">
        <v>85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221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T4925" t="str">
        <f t="shared" si="668"/>
        <v>9791137602663</v>
      </c>
      <c r="AV4925" t="str">
        <f t="shared" si="669"/>
        <v>판타지 웹소설 &gt; 퓨전 판타지</v>
      </c>
    </row>
    <row r="4926" spans="1:48" x14ac:dyDescent="0.4">
      <c r="A4926">
        <v>2313012849</v>
      </c>
      <c r="B4926">
        <v>2313012871</v>
      </c>
      <c r="C4926" t="str">
        <f>T("디버프 마스터 23화")</f>
        <v>디버프 마스터 23화</v>
      </c>
      <c r="D4926" t="str">
        <f>T("23")</f>
        <v>23</v>
      </c>
      <c r="E4926" t="str">
        <f t="shared" si="666"/>
        <v>담화공</v>
      </c>
      <c r="H4926" t="str">
        <f t="shared" si="665"/>
        <v>스토리위즈</v>
      </c>
      <c r="I4926" t="str">
        <f t="shared" si="667"/>
        <v>디버프 마스터</v>
      </c>
      <c r="J4926">
        <v>0</v>
      </c>
      <c r="K4926">
        <v>0</v>
      </c>
      <c r="L4926">
        <v>0</v>
      </c>
      <c r="M4926">
        <v>135</v>
      </c>
      <c r="N4926">
        <v>0</v>
      </c>
      <c r="O4926">
        <v>0</v>
      </c>
      <c r="P4926">
        <v>85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220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T4926" t="str">
        <f t="shared" si="668"/>
        <v>9791137602663</v>
      </c>
      <c r="AV4926" t="str">
        <f t="shared" si="669"/>
        <v>판타지 웹소설 &gt; 퓨전 판타지</v>
      </c>
    </row>
    <row r="4927" spans="1:48" x14ac:dyDescent="0.4">
      <c r="A4927">
        <v>2313012849</v>
      </c>
      <c r="B4927">
        <v>2313012872</v>
      </c>
      <c r="C4927" t="str">
        <f>T("디버프 마스터 24화")</f>
        <v>디버프 마스터 24화</v>
      </c>
      <c r="D4927" t="str">
        <f>T("24")</f>
        <v>24</v>
      </c>
      <c r="E4927" t="str">
        <f t="shared" si="666"/>
        <v>담화공</v>
      </c>
      <c r="H4927" t="str">
        <f t="shared" si="665"/>
        <v>스토리위즈</v>
      </c>
      <c r="I4927" t="str">
        <f t="shared" si="667"/>
        <v>디버프 마스터</v>
      </c>
      <c r="J4927">
        <v>0</v>
      </c>
      <c r="K4927">
        <v>0</v>
      </c>
      <c r="L4927">
        <v>0</v>
      </c>
      <c r="M4927">
        <v>135</v>
      </c>
      <c r="N4927">
        <v>0</v>
      </c>
      <c r="O4927">
        <v>0</v>
      </c>
      <c r="P4927">
        <v>85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220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T4927" t="str">
        <f t="shared" si="668"/>
        <v>9791137602663</v>
      </c>
      <c r="AV4927" t="str">
        <f t="shared" si="669"/>
        <v>판타지 웹소설 &gt; 퓨전 판타지</v>
      </c>
    </row>
    <row r="4928" spans="1:48" x14ac:dyDescent="0.4">
      <c r="A4928">
        <v>2313012849</v>
      </c>
      <c r="B4928">
        <v>2313012873</v>
      </c>
      <c r="C4928" t="str">
        <f>T("디버프 마스터 25화")</f>
        <v>디버프 마스터 25화</v>
      </c>
      <c r="D4928" t="str">
        <f>T("25")</f>
        <v>25</v>
      </c>
      <c r="E4928" t="str">
        <f t="shared" si="666"/>
        <v>담화공</v>
      </c>
      <c r="H4928" t="str">
        <f t="shared" si="665"/>
        <v>스토리위즈</v>
      </c>
      <c r="I4928" t="str">
        <f t="shared" si="667"/>
        <v>디버프 마스터</v>
      </c>
      <c r="J4928">
        <v>0</v>
      </c>
      <c r="K4928">
        <v>0</v>
      </c>
      <c r="L4928">
        <v>0</v>
      </c>
      <c r="M4928">
        <v>133</v>
      </c>
      <c r="N4928">
        <v>0</v>
      </c>
      <c r="O4928">
        <v>0</v>
      </c>
      <c r="P4928">
        <v>86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219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T4928" t="str">
        <f t="shared" si="668"/>
        <v>9791137602663</v>
      </c>
      <c r="AV4928" t="str">
        <f t="shared" si="669"/>
        <v>판타지 웹소설 &gt; 퓨전 판타지</v>
      </c>
    </row>
    <row r="4929" spans="1:48" x14ac:dyDescent="0.4">
      <c r="A4929">
        <v>2313014405</v>
      </c>
      <c r="B4929">
        <v>2313014405</v>
      </c>
      <c r="C4929" t="str">
        <f>T("낚싯대 하나로 세계최강 1화")</f>
        <v>낚싯대 하나로 세계최강 1화</v>
      </c>
      <c r="D4929" t="str">
        <f>T("1")</f>
        <v>1</v>
      </c>
      <c r="E4929" t="str">
        <f t="shared" ref="E4929:E4953" si="670">T("단팥크림빵7")</f>
        <v>단팥크림빵7</v>
      </c>
      <c r="H4929" t="str">
        <f t="shared" si="665"/>
        <v>스토리위즈</v>
      </c>
      <c r="I4929" t="str">
        <f t="shared" ref="I4929:I4953" si="671">T("낚싯대 하나로 세계최강")</f>
        <v>낚싯대 하나로 세계최강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T4929" t="str">
        <f t="shared" ref="AT4929:AT4953" si="672">T("9791137600690")</f>
        <v>9791137600690</v>
      </c>
      <c r="AV4929" t="str">
        <f t="shared" si="669"/>
        <v>판타지 웹소설 &gt; 퓨전 판타지</v>
      </c>
    </row>
    <row r="4930" spans="1:48" x14ac:dyDescent="0.4">
      <c r="A4930">
        <v>2313014405</v>
      </c>
      <c r="B4930">
        <v>2313014406</v>
      </c>
      <c r="C4930" t="str">
        <f>T("낚싯대 하나로 세계최강 2화")</f>
        <v>낚싯대 하나로 세계최강 2화</v>
      </c>
      <c r="D4930" t="str">
        <f>T("2")</f>
        <v>2</v>
      </c>
      <c r="E4930" t="str">
        <f t="shared" si="670"/>
        <v>단팥크림빵7</v>
      </c>
      <c r="H4930" t="str">
        <f t="shared" si="665"/>
        <v>스토리위즈</v>
      </c>
      <c r="I4930" t="str">
        <f t="shared" si="671"/>
        <v>낚싯대 하나로 세계최강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1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T4930" t="str">
        <f t="shared" si="672"/>
        <v>9791137600690</v>
      </c>
      <c r="AV4930" t="str">
        <f t="shared" si="669"/>
        <v>판타지 웹소설 &gt; 퓨전 판타지</v>
      </c>
    </row>
    <row r="4931" spans="1:48" x14ac:dyDescent="0.4">
      <c r="A4931">
        <v>2313014405</v>
      </c>
      <c r="B4931">
        <v>2313014407</v>
      </c>
      <c r="C4931" t="str">
        <f>T("낚싯대 하나로 세계최강 3화")</f>
        <v>낚싯대 하나로 세계최강 3화</v>
      </c>
      <c r="D4931" t="str">
        <f>T("3")</f>
        <v>3</v>
      </c>
      <c r="E4931" t="str">
        <f t="shared" si="670"/>
        <v>단팥크림빵7</v>
      </c>
      <c r="H4931" t="str">
        <f t="shared" si="665"/>
        <v>스토리위즈</v>
      </c>
      <c r="I4931" t="str">
        <f t="shared" si="671"/>
        <v>낚싯대 하나로 세계최강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1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T4931" t="str">
        <f t="shared" si="672"/>
        <v>9791137600690</v>
      </c>
      <c r="AV4931" t="str">
        <f t="shared" si="669"/>
        <v>판타지 웹소설 &gt; 퓨전 판타지</v>
      </c>
    </row>
    <row r="4932" spans="1:48" x14ac:dyDescent="0.4">
      <c r="A4932">
        <v>2313014405</v>
      </c>
      <c r="B4932">
        <v>2313014408</v>
      </c>
      <c r="C4932" t="str">
        <f>T("낚싯대 하나로 세계최강 4화")</f>
        <v>낚싯대 하나로 세계최강 4화</v>
      </c>
      <c r="D4932" t="str">
        <f>T("4")</f>
        <v>4</v>
      </c>
      <c r="E4932" t="str">
        <f t="shared" si="670"/>
        <v>단팥크림빵7</v>
      </c>
      <c r="H4932" t="str">
        <f t="shared" si="665"/>
        <v>스토리위즈</v>
      </c>
      <c r="I4932" t="str">
        <f t="shared" si="671"/>
        <v>낚싯대 하나로 세계최강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T4932" t="str">
        <f t="shared" si="672"/>
        <v>9791137600690</v>
      </c>
      <c r="AV4932" t="str">
        <f t="shared" si="669"/>
        <v>판타지 웹소설 &gt; 퓨전 판타지</v>
      </c>
    </row>
    <row r="4933" spans="1:48" x14ac:dyDescent="0.4">
      <c r="A4933">
        <v>2313014405</v>
      </c>
      <c r="B4933">
        <v>2313014409</v>
      </c>
      <c r="C4933" t="str">
        <f>T("낚싯대 하나로 세계최강 5화")</f>
        <v>낚싯대 하나로 세계최강 5화</v>
      </c>
      <c r="D4933" t="str">
        <f>T("5")</f>
        <v>5</v>
      </c>
      <c r="E4933" t="str">
        <f t="shared" si="670"/>
        <v>단팥크림빵7</v>
      </c>
      <c r="H4933" t="str">
        <f t="shared" si="665"/>
        <v>스토리위즈</v>
      </c>
      <c r="I4933" t="str">
        <f t="shared" si="671"/>
        <v>낚싯대 하나로 세계최강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T4933" t="str">
        <f t="shared" si="672"/>
        <v>9791137600690</v>
      </c>
      <c r="AV4933" t="str">
        <f t="shared" si="669"/>
        <v>판타지 웹소설 &gt; 퓨전 판타지</v>
      </c>
    </row>
    <row r="4934" spans="1:48" x14ac:dyDescent="0.4">
      <c r="A4934">
        <v>2313014405</v>
      </c>
      <c r="B4934">
        <v>2313014410</v>
      </c>
      <c r="C4934" t="str">
        <f>T("낚싯대 하나로 세계최강 6화")</f>
        <v>낚싯대 하나로 세계최강 6화</v>
      </c>
      <c r="D4934" t="str">
        <f>T("6")</f>
        <v>6</v>
      </c>
      <c r="E4934" t="str">
        <f t="shared" si="670"/>
        <v>단팥크림빵7</v>
      </c>
      <c r="H4934" t="str">
        <f t="shared" si="665"/>
        <v>스토리위즈</v>
      </c>
      <c r="I4934" t="str">
        <f t="shared" si="671"/>
        <v>낚싯대 하나로 세계최강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T4934" t="str">
        <f t="shared" si="672"/>
        <v>9791137600690</v>
      </c>
      <c r="AV4934" t="str">
        <f t="shared" si="669"/>
        <v>판타지 웹소설 &gt; 퓨전 판타지</v>
      </c>
    </row>
    <row r="4935" spans="1:48" x14ac:dyDescent="0.4">
      <c r="A4935">
        <v>2313014405</v>
      </c>
      <c r="B4935">
        <v>2313014411</v>
      </c>
      <c r="C4935" t="str">
        <f>T("낚싯대 하나로 세계최강 7화")</f>
        <v>낚싯대 하나로 세계최강 7화</v>
      </c>
      <c r="D4935" t="str">
        <f>T("7")</f>
        <v>7</v>
      </c>
      <c r="E4935" t="str">
        <f t="shared" si="670"/>
        <v>단팥크림빵7</v>
      </c>
      <c r="H4935" t="str">
        <f t="shared" si="665"/>
        <v>스토리위즈</v>
      </c>
      <c r="I4935" t="str">
        <f t="shared" si="671"/>
        <v>낚싯대 하나로 세계최강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T4935" t="str">
        <f t="shared" si="672"/>
        <v>9791137600690</v>
      </c>
      <c r="AV4935" t="str">
        <f t="shared" si="669"/>
        <v>판타지 웹소설 &gt; 퓨전 판타지</v>
      </c>
    </row>
    <row r="4936" spans="1:48" x14ac:dyDescent="0.4">
      <c r="A4936">
        <v>2313014405</v>
      </c>
      <c r="B4936">
        <v>2313014412</v>
      </c>
      <c r="C4936" t="str">
        <f>T("낚싯대 하나로 세계최강 8화")</f>
        <v>낚싯대 하나로 세계최강 8화</v>
      </c>
      <c r="D4936" t="str">
        <f>T("8")</f>
        <v>8</v>
      </c>
      <c r="E4936" t="str">
        <f t="shared" si="670"/>
        <v>단팥크림빵7</v>
      </c>
      <c r="H4936" t="str">
        <f t="shared" si="665"/>
        <v>스토리위즈</v>
      </c>
      <c r="I4936" t="str">
        <f t="shared" si="671"/>
        <v>낚싯대 하나로 세계최강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T4936" t="str">
        <f t="shared" si="672"/>
        <v>9791137600690</v>
      </c>
      <c r="AV4936" t="str">
        <f t="shared" si="669"/>
        <v>판타지 웹소설 &gt; 퓨전 판타지</v>
      </c>
    </row>
    <row r="4937" spans="1:48" x14ac:dyDescent="0.4">
      <c r="A4937">
        <v>2313014405</v>
      </c>
      <c r="B4937">
        <v>2313014413</v>
      </c>
      <c r="C4937" t="str">
        <f>T("낚싯대 하나로 세계최강 9화")</f>
        <v>낚싯대 하나로 세계최강 9화</v>
      </c>
      <c r="D4937" t="str">
        <f>T("9")</f>
        <v>9</v>
      </c>
      <c r="E4937" t="str">
        <f t="shared" si="670"/>
        <v>단팥크림빵7</v>
      </c>
      <c r="H4937" t="str">
        <f t="shared" si="665"/>
        <v>스토리위즈</v>
      </c>
      <c r="I4937" t="str">
        <f t="shared" si="671"/>
        <v>낚싯대 하나로 세계최강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1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T4937" t="str">
        <f t="shared" si="672"/>
        <v>9791137600690</v>
      </c>
      <c r="AV4937" t="str">
        <f t="shared" si="669"/>
        <v>판타지 웹소설 &gt; 퓨전 판타지</v>
      </c>
    </row>
    <row r="4938" spans="1:48" x14ac:dyDescent="0.4">
      <c r="A4938">
        <v>2313014405</v>
      </c>
      <c r="B4938">
        <v>2313014414</v>
      </c>
      <c r="C4938" t="str">
        <f>T("낚싯대 하나로 세계최강 10화")</f>
        <v>낚싯대 하나로 세계최강 10화</v>
      </c>
      <c r="D4938" t="str">
        <f>T("10")</f>
        <v>10</v>
      </c>
      <c r="E4938" t="str">
        <f t="shared" si="670"/>
        <v>단팥크림빵7</v>
      </c>
      <c r="H4938" t="str">
        <f t="shared" si="665"/>
        <v>스토리위즈</v>
      </c>
      <c r="I4938" t="str">
        <f t="shared" si="671"/>
        <v>낚싯대 하나로 세계최강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T4938" t="str">
        <f t="shared" si="672"/>
        <v>9791137600690</v>
      </c>
      <c r="AV4938" t="str">
        <f t="shared" si="669"/>
        <v>판타지 웹소설 &gt; 퓨전 판타지</v>
      </c>
    </row>
    <row r="4939" spans="1:48" x14ac:dyDescent="0.4">
      <c r="A4939">
        <v>2313014405</v>
      </c>
      <c r="B4939">
        <v>2313014415</v>
      </c>
      <c r="C4939" t="str">
        <f>T("낚싯대 하나로 세계최강 11화")</f>
        <v>낚싯대 하나로 세계최강 11화</v>
      </c>
      <c r="D4939" t="str">
        <f>T("11")</f>
        <v>11</v>
      </c>
      <c r="E4939" t="str">
        <f t="shared" si="670"/>
        <v>단팥크림빵7</v>
      </c>
      <c r="H4939" t="str">
        <f t="shared" si="665"/>
        <v>스토리위즈</v>
      </c>
      <c r="I4939" t="str">
        <f t="shared" si="671"/>
        <v>낚싯대 하나로 세계최강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T4939" t="str">
        <f t="shared" si="672"/>
        <v>9791137600690</v>
      </c>
      <c r="AV4939" t="str">
        <f t="shared" si="669"/>
        <v>판타지 웹소설 &gt; 퓨전 판타지</v>
      </c>
    </row>
    <row r="4940" spans="1:48" x14ac:dyDescent="0.4">
      <c r="A4940">
        <v>2313014405</v>
      </c>
      <c r="B4940">
        <v>2313014416</v>
      </c>
      <c r="C4940" t="str">
        <f>T("낚싯대 하나로 세계최강 12화")</f>
        <v>낚싯대 하나로 세계최강 12화</v>
      </c>
      <c r="D4940" t="str">
        <f>T("12")</f>
        <v>12</v>
      </c>
      <c r="E4940" t="str">
        <f t="shared" si="670"/>
        <v>단팥크림빵7</v>
      </c>
      <c r="H4940" t="str">
        <f t="shared" si="665"/>
        <v>스토리위즈</v>
      </c>
      <c r="I4940" t="str">
        <f t="shared" si="671"/>
        <v>낚싯대 하나로 세계최강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T4940" t="str">
        <f t="shared" si="672"/>
        <v>9791137600690</v>
      </c>
      <c r="AV4940" t="str">
        <f t="shared" si="669"/>
        <v>판타지 웹소설 &gt; 퓨전 판타지</v>
      </c>
    </row>
    <row r="4941" spans="1:48" x14ac:dyDescent="0.4">
      <c r="A4941">
        <v>2313014405</v>
      </c>
      <c r="B4941">
        <v>2313014417</v>
      </c>
      <c r="C4941" t="str">
        <f>T("낚싯대 하나로 세계최강 13화")</f>
        <v>낚싯대 하나로 세계최강 13화</v>
      </c>
      <c r="D4941" t="str">
        <f>T("13")</f>
        <v>13</v>
      </c>
      <c r="E4941" t="str">
        <f t="shared" si="670"/>
        <v>단팥크림빵7</v>
      </c>
      <c r="H4941" t="str">
        <f t="shared" si="665"/>
        <v>스토리위즈</v>
      </c>
      <c r="I4941" t="str">
        <f t="shared" si="671"/>
        <v>낚싯대 하나로 세계최강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T4941" t="str">
        <f t="shared" si="672"/>
        <v>9791137600690</v>
      </c>
      <c r="AV4941" t="str">
        <f t="shared" si="669"/>
        <v>판타지 웹소설 &gt; 퓨전 판타지</v>
      </c>
    </row>
    <row r="4942" spans="1:48" x14ac:dyDescent="0.4">
      <c r="A4942">
        <v>2313014405</v>
      </c>
      <c r="B4942">
        <v>2313014418</v>
      </c>
      <c r="C4942" t="str">
        <f>T("낚싯대 하나로 세계최강 14화")</f>
        <v>낚싯대 하나로 세계최강 14화</v>
      </c>
      <c r="D4942" t="str">
        <f>T("14")</f>
        <v>14</v>
      </c>
      <c r="E4942" t="str">
        <f t="shared" si="670"/>
        <v>단팥크림빵7</v>
      </c>
      <c r="H4942" t="str">
        <f t="shared" si="665"/>
        <v>스토리위즈</v>
      </c>
      <c r="I4942" t="str">
        <f t="shared" si="671"/>
        <v>낚싯대 하나로 세계최강</v>
      </c>
      <c r="J4942">
        <v>0</v>
      </c>
      <c r="K4942">
        <v>0</v>
      </c>
      <c r="L4942">
        <v>0</v>
      </c>
      <c r="M4942">
        <v>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2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T4942" t="str">
        <f t="shared" si="672"/>
        <v>9791137600690</v>
      </c>
      <c r="AV4942" t="str">
        <f t="shared" si="669"/>
        <v>판타지 웹소설 &gt; 퓨전 판타지</v>
      </c>
    </row>
    <row r="4943" spans="1:48" x14ac:dyDescent="0.4">
      <c r="A4943">
        <v>2313014405</v>
      </c>
      <c r="B4943">
        <v>2313014419</v>
      </c>
      <c r="C4943" t="str">
        <f>T("낚싯대 하나로 세계최강 15화")</f>
        <v>낚싯대 하나로 세계최강 15화</v>
      </c>
      <c r="D4943" t="str">
        <f>T("15")</f>
        <v>15</v>
      </c>
      <c r="E4943" t="str">
        <f t="shared" si="670"/>
        <v>단팥크림빵7</v>
      </c>
      <c r="H4943" t="str">
        <f t="shared" si="665"/>
        <v>스토리위즈</v>
      </c>
      <c r="I4943" t="str">
        <f t="shared" si="671"/>
        <v>낚싯대 하나로 세계최강</v>
      </c>
      <c r="J4943">
        <v>0</v>
      </c>
      <c r="K4943">
        <v>0</v>
      </c>
      <c r="L4943">
        <v>0</v>
      </c>
      <c r="M4943">
        <v>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2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T4943" t="str">
        <f t="shared" si="672"/>
        <v>9791137600690</v>
      </c>
      <c r="AV4943" t="str">
        <f t="shared" si="669"/>
        <v>판타지 웹소설 &gt; 퓨전 판타지</v>
      </c>
    </row>
    <row r="4944" spans="1:48" x14ac:dyDescent="0.4">
      <c r="A4944">
        <v>2313014405</v>
      </c>
      <c r="B4944">
        <v>2313014420</v>
      </c>
      <c r="C4944" t="str">
        <f>T("낚싯대 하나로 세계최강 16화")</f>
        <v>낚싯대 하나로 세계최강 16화</v>
      </c>
      <c r="D4944" t="str">
        <f>T("16")</f>
        <v>16</v>
      </c>
      <c r="E4944" t="str">
        <f t="shared" si="670"/>
        <v>단팥크림빵7</v>
      </c>
      <c r="H4944" t="str">
        <f t="shared" si="665"/>
        <v>스토리위즈</v>
      </c>
      <c r="I4944" t="str">
        <f t="shared" si="671"/>
        <v>낚싯대 하나로 세계최강</v>
      </c>
      <c r="J4944">
        <v>0</v>
      </c>
      <c r="K4944">
        <v>0</v>
      </c>
      <c r="L4944">
        <v>0</v>
      </c>
      <c r="M4944">
        <v>2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2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T4944" t="str">
        <f t="shared" si="672"/>
        <v>9791137600690</v>
      </c>
      <c r="AV4944" t="str">
        <f t="shared" si="669"/>
        <v>판타지 웹소설 &gt; 퓨전 판타지</v>
      </c>
    </row>
    <row r="4945" spans="1:48" x14ac:dyDescent="0.4">
      <c r="A4945">
        <v>2313014405</v>
      </c>
      <c r="B4945">
        <v>2313014421</v>
      </c>
      <c r="C4945" t="str">
        <f>T("낚싯대 하나로 세계최강 17화")</f>
        <v>낚싯대 하나로 세계최강 17화</v>
      </c>
      <c r="D4945" t="str">
        <f>T("17")</f>
        <v>17</v>
      </c>
      <c r="E4945" t="str">
        <f t="shared" si="670"/>
        <v>단팥크림빵7</v>
      </c>
      <c r="H4945" t="str">
        <f t="shared" si="665"/>
        <v>스토리위즈</v>
      </c>
      <c r="I4945" t="str">
        <f t="shared" si="671"/>
        <v>낚싯대 하나로 세계최강</v>
      </c>
      <c r="J4945">
        <v>0</v>
      </c>
      <c r="K4945">
        <v>0</v>
      </c>
      <c r="L4945">
        <v>0</v>
      </c>
      <c r="M4945">
        <v>2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2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T4945" t="str">
        <f t="shared" si="672"/>
        <v>9791137600690</v>
      </c>
      <c r="AV4945" t="str">
        <f t="shared" si="669"/>
        <v>판타지 웹소설 &gt; 퓨전 판타지</v>
      </c>
    </row>
    <row r="4946" spans="1:48" x14ac:dyDescent="0.4">
      <c r="A4946">
        <v>2313014405</v>
      </c>
      <c r="B4946">
        <v>2313014422</v>
      </c>
      <c r="C4946" t="str">
        <f>T("낚싯대 하나로 세계최강 18화")</f>
        <v>낚싯대 하나로 세계최강 18화</v>
      </c>
      <c r="D4946" t="str">
        <f>T("18")</f>
        <v>18</v>
      </c>
      <c r="E4946" t="str">
        <f t="shared" si="670"/>
        <v>단팥크림빵7</v>
      </c>
      <c r="H4946" t="str">
        <f t="shared" si="665"/>
        <v>스토리위즈</v>
      </c>
      <c r="I4946" t="str">
        <f t="shared" si="671"/>
        <v>낚싯대 하나로 세계최강</v>
      </c>
      <c r="J4946">
        <v>0</v>
      </c>
      <c r="K4946">
        <v>0</v>
      </c>
      <c r="L4946">
        <v>0</v>
      </c>
      <c r="M4946">
        <v>2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2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T4946" t="str">
        <f t="shared" si="672"/>
        <v>9791137600690</v>
      </c>
      <c r="AV4946" t="str">
        <f t="shared" si="669"/>
        <v>판타지 웹소설 &gt; 퓨전 판타지</v>
      </c>
    </row>
    <row r="4947" spans="1:48" x14ac:dyDescent="0.4">
      <c r="A4947">
        <v>2313014405</v>
      </c>
      <c r="B4947">
        <v>2313014423</v>
      </c>
      <c r="C4947" t="str">
        <f>T("낚싯대 하나로 세계최강 19화")</f>
        <v>낚싯대 하나로 세계최강 19화</v>
      </c>
      <c r="D4947" t="str">
        <f>T("19")</f>
        <v>19</v>
      </c>
      <c r="E4947" t="str">
        <f t="shared" si="670"/>
        <v>단팥크림빵7</v>
      </c>
      <c r="H4947" t="str">
        <f t="shared" si="665"/>
        <v>스토리위즈</v>
      </c>
      <c r="I4947" t="str">
        <f t="shared" si="671"/>
        <v>낚싯대 하나로 세계최강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T4947" t="str">
        <f t="shared" si="672"/>
        <v>9791137600690</v>
      </c>
      <c r="AV4947" t="str">
        <f t="shared" si="669"/>
        <v>판타지 웹소설 &gt; 퓨전 판타지</v>
      </c>
    </row>
    <row r="4948" spans="1:48" x14ac:dyDescent="0.4">
      <c r="A4948">
        <v>2313014405</v>
      </c>
      <c r="B4948">
        <v>2313014424</v>
      </c>
      <c r="C4948" t="str">
        <f>T("낚싯대 하나로 세계최강 20화")</f>
        <v>낚싯대 하나로 세계최강 20화</v>
      </c>
      <c r="D4948" t="str">
        <f>T("20")</f>
        <v>20</v>
      </c>
      <c r="E4948" t="str">
        <f t="shared" si="670"/>
        <v>단팥크림빵7</v>
      </c>
      <c r="H4948" t="str">
        <f t="shared" si="665"/>
        <v>스토리위즈</v>
      </c>
      <c r="I4948" t="str">
        <f t="shared" si="671"/>
        <v>낚싯대 하나로 세계최강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T4948" t="str">
        <f t="shared" si="672"/>
        <v>9791137600690</v>
      </c>
      <c r="AV4948" t="str">
        <f t="shared" si="669"/>
        <v>판타지 웹소설 &gt; 퓨전 판타지</v>
      </c>
    </row>
    <row r="4949" spans="1:48" x14ac:dyDescent="0.4">
      <c r="A4949">
        <v>2313014405</v>
      </c>
      <c r="B4949">
        <v>2313014425</v>
      </c>
      <c r="C4949" t="str">
        <f>T("낚싯대 하나로 세계최강 21화")</f>
        <v>낚싯대 하나로 세계최강 21화</v>
      </c>
      <c r="D4949" t="str">
        <f>T("21")</f>
        <v>21</v>
      </c>
      <c r="E4949" t="str">
        <f t="shared" si="670"/>
        <v>단팥크림빵7</v>
      </c>
      <c r="H4949" t="str">
        <f t="shared" si="665"/>
        <v>스토리위즈</v>
      </c>
      <c r="I4949" t="str">
        <f t="shared" si="671"/>
        <v>낚싯대 하나로 세계최강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T4949" t="str">
        <f t="shared" si="672"/>
        <v>9791137600690</v>
      </c>
      <c r="AV4949" t="str">
        <f t="shared" si="669"/>
        <v>판타지 웹소설 &gt; 퓨전 판타지</v>
      </c>
    </row>
    <row r="4950" spans="1:48" x14ac:dyDescent="0.4">
      <c r="A4950">
        <v>2313014405</v>
      </c>
      <c r="B4950">
        <v>2313014426</v>
      </c>
      <c r="C4950" t="str">
        <f>T("낚싯대 하나로 세계최강 22화")</f>
        <v>낚싯대 하나로 세계최강 22화</v>
      </c>
      <c r="D4950" t="str">
        <f>T("22")</f>
        <v>22</v>
      </c>
      <c r="E4950" t="str">
        <f t="shared" si="670"/>
        <v>단팥크림빵7</v>
      </c>
      <c r="H4950" t="str">
        <f t="shared" si="665"/>
        <v>스토리위즈</v>
      </c>
      <c r="I4950" t="str">
        <f t="shared" si="671"/>
        <v>낚싯대 하나로 세계최강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1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T4950" t="str">
        <f t="shared" si="672"/>
        <v>9791137600690</v>
      </c>
      <c r="AV4950" t="str">
        <f t="shared" si="669"/>
        <v>판타지 웹소설 &gt; 퓨전 판타지</v>
      </c>
    </row>
    <row r="4951" spans="1:48" x14ac:dyDescent="0.4">
      <c r="A4951">
        <v>2313014405</v>
      </c>
      <c r="B4951">
        <v>2313014427</v>
      </c>
      <c r="C4951" t="str">
        <f>T("낚싯대 하나로 세계최강 23화")</f>
        <v>낚싯대 하나로 세계최강 23화</v>
      </c>
      <c r="D4951" t="str">
        <f>T("23")</f>
        <v>23</v>
      </c>
      <c r="E4951" t="str">
        <f t="shared" si="670"/>
        <v>단팥크림빵7</v>
      </c>
      <c r="H4951" t="str">
        <f t="shared" si="665"/>
        <v>스토리위즈</v>
      </c>
      <c r="I4951" t="str">
        <f t="shared" si="671"/>
        <v>낚싯대 하나로 세계최강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T4951" t="str">
        <f t="shared" si="672"/>
        <v>9791137600690</v>
      </c>
      <c r="AV4951" t="str">
        <f t="shared" si="669"/>
        <v>판타지 웹소설 &gt; 퓨전 판타지</v>
      </c>
    </row>
    <row r="4952" spans="1:48" x14ac:dyDescent="0.4">
      <c r="A4952">
        <v>2313014405</v>
      </c>
      <c r="B4952">
        <v>2313014428</v>
      </c>
      <c r="C4952" t="str">
        <f>T("낚싯대 하나로 세계최강 24화")</f>
        <v>낚싯대 하나로 세계최강 24화</v>
      </c>
      <c r="D4952" t="str">
        <f>T("24")</f>
        <v>24</v>
      </c>
      <c r="E4952" t="str">
        <f t="shared" si="670"/>
        <v>단팥크림빵7</v>
      </c>
      <c r="H4952" t="str">
        <f t="shared" si="665"/>
        <v>스토리위즈</v>
      </c>
      <c r="I4952" t="str">
        <f t="shared" si="671"/>
        <v>낚싯대 하나로 세계최강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T4952" t="str">
        <f t="shared" si="672"/>
        <v>9791137600690</v>
      </c>
      <c r="AV4952" t="str">
        <f t="shared" si="669"/>
        <v>판타지 웹소설 &gt; 퓨전 판타지</v>
      </c>
    </row>
    <row r="4953" spans="1:48" x14ac:dyDescent="0.4">
      <c r="A4953">
        <v>2313014405</v>
      </c>
      <c r="B4953">
        <v>2313014429</v>
      </c>
      <c r="C4953" t="str">
        <f>T("낚싯대 하나로 세계최강 25화")</f>
        <v>낚싯대 하나로 세계최강 25화</v>
      </c>
      <c r="D4953" t="str">
        <f>T("25")</f>
        <v>25</v>
      </c>
      <c r="E4953" t="str">
        <f t="shared" si="670"/>
        <v>단팥크림빵7</v>
      </c>
      <c r="H4953" t="str">
        <f t="shared" si="665"/>
        <v>스토리위즈</v>
      </c>
      <c r="I4953" t="str">
        <f t="shared" si="671"/>
        <v>낚싯대 하나로 세계최강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T4953" t="str">
        <f t="shared" si="672"/>
        <v>9791137600690</v>
      </c>
      <c r="AV4953" t="str">
        <f t="shared" si="669"/>
        <v>판타지 웹소설 &gt; 퓨전 판타지</v>
      </c>
    </row>
    <row r="4954" spans="1:48" x14ac:dyDescent="0.4">
      <c r="A4954">
        <v>2313014555</v>
      </c>
      <c r="B4954">
        <v>2313014555</v>
      </c>
      <c r="C4954" t="str">
        <f>T("헌터인데 내공이 좀 많네요 1화")</f>
        <v>헌터인데 내공이 좀 많네요 1화</v>
      </c>
      <c r="D4954" t="str">
        <f>T("1")</f>
        <v>1</v>
      </c>
      <c r="E4954" t="str">
        <f t="shared" ref="E4954:E4978" si="673">T("돈문어")</f>
        <v>돈문어</v>
      </c>
      <c r="H4954" t="str">
        <f t="shared" si="665"/>
        <v>스토리위즈</v>
      </c>
      <c r="I4954" t="str">
        <f t="shared" ref="I4954:I4978" si="674">T("헌터인데 내공이 좀 많네요")</f>
        <v>헌터인데 내공이 좀 많네요</v>
      </c>
      <c r="J4954">
        <v>0</v>
      </c>
      <c r="K4954">
        <v>0</v>
      </c>
      <c r="L4954">
        <v>0</v>
      </c>
      <c r="M4954">
        <v>9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9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T4954" t="str">
        <f t="shared" ref="AT4954:AT4978" si="675">T("9791137601222")</f>
        <v>9791137601222</v>
      </c>
      <c r="AV4954" t="str">
        <f t="shared" si="669"/>
        <v>판타지 웹소설 &gt; 퓨전 판타지</v>
      </c>
    </row>
    <row r="4955" spans="1:48" x14ac:dyDescent="0.4">
      <c r="A4955">
        <v>2313014555</v>
      </c>
      <c r="B4955">
        <v>2313014556</v>
      </c>
      <c r="C4955" t="str">
        <f>T("헌터인데 내공이 좀 많네요 2화")</f>
        <v>헌터인데 내공이 좀 많네요 2화</v>
      </c>
      <c r="D4955" t="str">
        <f>T("2")</f>
        <v>2</v>
      </c>
      <c r="E4955" t="str">
        <f t="shared" si="673"/>
        <v>돈문어</v>
      </c>
      <c r="H4955" t="str">
        <f t="shared" si="665"/>
        <v>스토리위즈</v>
      </c>
      <c r="I4955" t="str">
        <f t="shared" si="674"/>
        <v>헌터인데 내공이 좀 많네요</v>
      </c>
      <c r="J4955">
        <v>0</v>
      </c>
      <c r="K4955">
        <v>0</v>
      </c>
      <c r="L4955">
        <v>0</v>
      </c>
      <c r="M4955">
        <v>8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8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T4955" t="str">
        <f t="shared" si="675"/>
        <v>9791137601222</v>
      </c>
      <c r="AV4955" t="str">
        <f t="shared" si="669"/>
        <v>판타지 웹소설 &gt; 퓨전 판타지</v>
      </c>
    </row>
    <row r="4956" spans="1:48" x14ac:dyDescent="0.4">
      <c r="A4956">
        <v>2313014555</v>
      </c>
      <c r="B4956">
        <v>2313014557</v>
      </c>
      <c r="C4956" t="str">
        <f>T("헌터인데 내공이 좀 많네요 3화")</f>
        <v>헌터인데 내공이 좀 많네요 3화</v>
      </c>
      <c r="D4956" t="str">
        <f>T("3")</f>
        <v>3</v>
      </c>
      <c r="E4956" t="str">
        <f t="shared" si="673"/>
        <v>돈문어</v>
      </c>
      <c r="H4956" t="str">
        <f t="shared" si="665"/>
        <v>스토리위즈</v>
      </c>
      <c r="I4956" t="str">
        <f t="shared" si="674"/>
        <v>헌터인데 내공이 좀 많네요</v>
      </c>
      <c r="J4956">
        <v>0</v>
      </c>
      <c r="K4956">
        <v>0</v>
      </c>
      <c r="L4956">
        <v>0</v>
      </c>
      <c r="M4956">
        <v>6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6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T4956" t="str">
        <f t="shared" si="675"/>
        <v>9791137601222</v>
      </c>
      <c r="AV4956" t="str">
        <f t="shared" si="669"/>
        <v>판타지 웹소설 &gt; 퓨전 판타지</v>
      </c>
    </row>
    <row r="4957" spans="1:48" x14ac:dyDescent="0.4">
      <c r="A4957">
        <v>2313014555</v>
      </c>
      <c r="B4957">
        <v>2313014558</v>
      </c>
      <c r="C4957" t="str">
        <f>T("헌터인데 내공이 좀 많네요 4화")</f>
        <v>헌터인데 내공이 좀 많네요 4화</v>
      </c>
      <c r="D4957" t="str">
        <f>T("4")</f>
        <v>4</v>
      </c>
      <c r="E4957" t="str">
        <f t="shared" si="673"/>
        <v>돈문어</v>
      </c>
      <c r="H4957" t="str">
        <f t="shared" si="665"/>
        <v>스토리위즈</v>
      </c>
      <c r="I4957" t="str">
        <f t="shared" si="674"/>
        <v>헌터인데 내공이 좀 많네요</v>
      </c>
      <c r="J4957">
        <v>0</v>
      </c>
      <c r="K4957">
        <v>0</v>
      </c>
      <c r="L4957">
        <v>0</v>
      </c>
      <c r="M4957">
        <v>5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5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T4957" t="str">
        <f t="shared" si="675"/>
        <v>9791137601222</v>
      </c>
      <c r="AV4957" t="str">
        <f t="shared" si="669"/>
        <v>판타지 웹소설 &gt; 퓨전 판타지</v>
      </c>
    </row>
    <row r="4958" spans="1:48" x14ac:dyDescent="0.4">
      <c r="A4958">
        <v>2313014555</v>
      </c>
      <c r="B4958">
        <v>2313014559</v>
      </c>
      <c r="C4958" t="str">
        <f>T("헌터인데 내공이 좀 많네요 5화")</f>
        <v>헌터인데 내공이 좀 많네요 5화</v>
      </c>
      <c r="D4958" t="str">
        <f>T("5")</f>
        <v>5</v>
      </c>
      <c r="E4958" t="str">
        <f t="shared" si="673"/>
        <v>돈문어</v>
      </c>
      <c r="H4958" t="str">
        <f t="shared" si="665"/>
        <v>스토리위즈</v>
      </c>
      <c r="I4958" t="str">
        <f t="shared" si="674"/>
        <v>헌터인데 내공이 좀 많네요</v>
      </c>
      <c r="J4958">
        <v>0</v>
      </c>
      <c r="K4958">
        <v>0</v>
      </c>
      <c r="L4958">
        <v>0</v>
      </c>
      <c r="M4958">
        <v>6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6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T4958" t="str">
        <f t="shared" si="675"/>
        <v>9791137601222</v>
      </c>
      <c r="AV4958" t="str">
        <f t="shared" si="669"/>
        <v>판타지 웹소설 &gt; 퓨전 판타지</v>
      </c>
    </row>
    <row r="4959" spans="1:48" x14ac:dyDescent="0.4">
      <c r="A4959">
        <v>2313014555</v>
      </c>
      <c r="B4959">
        <v>2313014560</v>
      </c>
      <c r="C4959" t="str">
        <f>T("헌터인데 내공이 좀 많네요 6화")</f>
        <v>헌터인데 내공이 좀 많네요 6화</v>
      </c>
      <c r="D4959" t="str">
        <f>T("6")</f>
        <v>6</v>
      </c>
      <c r="E4959" t="str">
        <f t="shared" si="673"/>
        <v>돈문어</v>
      </c>
      <c r="H4959" t="str">
        <f t="shared" ref="H4959:H5022" si="676">T("스토리위즈")</f>
        <v>스토리위즈</v>
      </c>
      <c r="I4959" t="str">
        <f t="shared" si="674"/>
        <v>헌터인데 내공이 좀 많네요</v>
      </c>
      <c r="J4959">
        <v>0</v>
      </c>
      <c r="K4959">
        <v>0</v>
      </c>
      <c r="L4959">
        <v>0</v>
      </c>
      <c r="M4959">
        <v>7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7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T4959" t="str">
        <f t="shared" si="675"/>
        <v>9791137601222</v>
      </c>
      <c r="AV4959" t="str">
        <f t="shared" si="669"/>
        <v>판타지 웹소설 &gt; 퓨전 판타지</v>
      </c>
    </row>
    <row r="4960" spans="1:48" x14ac:dyDescent="0.4">
      <c r="A4960">
        <v>2313014555</v>
      </c>
      <c r="B4960">
        <v>2313014561</v>
      </c>
      <c r="C4960" t="str">
        <f>T("헌터인데 내공이 좀 많네요 7화")</f>
        <v>헌터인데 내공이 좀 많네요 7화</v>
      </c>
      <c r="D4960" t="str">
        <f>T("7")</f>
        <v>7</v>
      </c>
      <c r="E4960" t="str">
        <f t="shared" si="673"/>
        <v>돈문어</v>
      </c>
      <c r="H4960" t="str">
        <f t="shared" si="676"/>
        <v>스토리위즈</v>
      </c>
      <c r="I4960" t="str">
        <f t="shared" si="674"/>
        <v>헌터인데 내공이 좀 많네요</v>
      </c>
      <c r="J4960">
        <v>0</v>
      </c>
      <c r="K4960">
        <v>0</v>
      </c>
      <c r="L4960">
        <v>0</v>
      </c>
      <c r="M4960">
        <v>5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5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T4960" t="str">
        <f t="shared" si="675"/>
        <v>9791137601222</v>
      </c>
      <c r="AV4960" t="str">
        <f t="shared" si="669"/>
        <v>판타지 웹소설 &gt; 퓨전 판타지</v>
      </c>
    </row>
    <row r="4961" spans="1:48" x14ac:dyDescent="0.4">
      <c r="A4961">
        <v>2313014555</v>
      </c>
      <c r="B4961">
        <v>2313014562</v>
      </c>
      <c r="C4961" t="str">
        <f>T("헌터인데 내공이 좀 많네요 8화")</f>
        <v>헌터인데 내공이 좀 많네요 8화</v>
      </c>
      <c r="D4961" t="str">
        <f>T("8")</f>
        <v>8</v>
      </c>
      <c r="E4961" t="str">
        <f t="shared" si="673"/>
        <v>돈문어</v>
      </c>
      <c r="H4961" t="str">
        <f t="shared" si="676"/>
        <v>스토리위즈</v>
      </c>
      <c r="I4961" t="str">
        <f t="shared" si="674"/>
        <v>헌터인데 내공이 좀 많네요</v>
      </c>
      <c r="J4961">
        <v>0</v>
      </c>
      <c r="K4961">
        <v>0</v>
      </c>
      <c r="L4961">
        <v>0</v>
      </c>
      <c r="M4961">
        <v>6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6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T4961" t="str">
        <f t="shared" si="675"/>
        <v>9791137601222</v>
      </c>
      <c r="AV4961" t="str">
        <f t="shared" si="669"/>
        <v>판타지 웹소설 &gt; 퓨전 판타지</v>
      </c>
    </row>
    <row r="4962" spans="1:48" x14ac:dyDescent="0.4">
      <c r="A4962">
        <v>2313014555</v>
      </c>
      <c r="B4962">
        <v>2313014563</v>
      </c>
      <c r="C4962" t="str">
        <f>T("헌터인데 내공이 좀 많네요 9화")</f>
        <v>헌터인데 내공이 좀 많네요 9화</v>
      </c>
      <c r="D4962" t="str">
        <f>T("9")</f>
        <v>9</v>
      </c>
      <c r="E4962" t="str">
        <f t="shared" si="673"/>
        <v>돈문어</v>
      </c>
      <c r="H4962" t="str">
        <f t="shared" si="676"/>
        <v>스토리위즈</v>
      </c>
      <c r="I4962" t="str">
        <f t="shared" si="674"/>
        <v>헌터인데 내공이 좀 많네요</v>
      </c>
      <c r="J4962">
        <v>0</v>
      </c>
      <c r="K4962">
        <v>0</v>
      </c>
      <c r="L4962">
        <v>0</v>
      </c>
      <c r="M4962">
        <v>6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6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T4962" t="str">
        <f t="shared" si="675"/>
        <v>9791137601222</v>
      </c>
      <c r="AV4962" t="str">
        <f t="shared" si="669"/>
        <v>판타지 웹소설 &gt; 퓨전 판타지</v>
      </c>
    </row>
    <row r="4963" spans="1:48" x14ac:dyDescent="0.4">
      <c r="A4963">
        <v>2313014555</v>
      </c>
      <c r="B4963">
        <v>2313014564</v>
      </c>
      <c r="C4963" t="str">
        <f>T("헌터인데 내공이 좀 많네요 10화")</f>
        <v>헌터인데 내공이 좀 많네요 10화</v>
      </c>
      <c r="D4963" t="str">
        <f>T("10")</f>
        <v>10</v>
      </c>
      <c r="E4963" t="str">
        <f t="shared" si="673"/>
        <v>돈문어</v>
      </c>
      <c r="H4963" t="str">
        <f t="shared" si="676"/>
        <v>스토리위즈</v>
      </c>
      <c r="I4963" t="str">
        <f t="shared" si="674"/>
        <v>헌터인데 내공이 좀 많네요</v>
      </c>
      <c r="J4963">
        <v>0</v>
      </c>
      <c r="K4963">
        <v>0</v>
      </c>
      <c r="L4963">
        <v>0</v>
      </c>
      <c r="M4963">
        <v>6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6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T4963" t="str">
        <f t="shared" si="675"/>
        <v>9791137601222</v>
      </c>
      <c r="AV4963" t="str">
        <f t="shared" si="669"/>
        <v>판타지 웹소설 &gt; 퓨전 판타지</v>
      </c>
    </row>
    <row r="4964" spans="1:48" x14ac:dyDescent="0.4">
      <c r="A4964">
        <v>2313014555</v>
      </c>
      <c r="B4964">
        <v>2313014565</v>
      </c>
      <c r="C4964" t="str">
        <f>T("헌터인데 내공이 좀 많네요 11화")</f>
        <v>헌터인데 내공이 좀 많네요 11화</v>
      </c>
      <c r="D4964" t="str">
        <f>T("11")</f>
        <v>11</v>
      </c>
      <c r="E4964" t="str">
        <f t="shared" si="673"/>
        <v>돈문어</v>
      </c>
      <c r="H4964" t="str">
        <f t="shared" si="676"/>
        <v>스토리위즈</v>
      </c>
      <c r="I4964" t="str">
        <f t="shared" si="674"/>
        <v>헌터인데 내공이 좀 많네요</v>
      </c>
      <c r="J4964">
        <v>0</v>
      </c>
      <c r="K4964">
        <v>0</v>
      </c>
      <c r="L4964">
        <v>0</v>
      </c>
      <c r="M4964">
        <v>6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6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T4964" t="str">
        <f t="shared" si="675"/>
        <v>9791137601222</v>
      </c>
      <c r="AV4964" t="str">
        <f t="shared" si="669"/>
        <v>판타지 웹소설 &gt; 퓨전 판타지</v>
      </c>
    </row>
    <row r="4965" spans="1:48" x14ac:dyDescent="0.4">
      <c r="A4965">
        <v>2313014555</v>
      </c>
      <c r="B4965">
        <v>2313014566</v>
      </c>
      <c r="C4965" t="str">
        <f>T("헌터인데 내공이 좀 많네요 12화")</f>
        <v>헌터인데 내공이 좀 많네요 12화</v>
      </c>
      <c r="D4965" t="str">
        <f>T("12")</f>
        <v>12</v>
      </c>
      <c r="E4965" t="str">
        <f t="shared" si="673"/>
        <v>돈문어</v>
      </c>
      <c r="H4965" t="str">
        <f t="shared" si="676"/>
        <v>스토리위즈</v>
      </c>
      <c r="I4965" t="str">
        <f t="shared" si="674"/>
        <v>헌터인데 내공이 좀 많네요</v>
      </c>
      <c r="J4965">
        <v>0</v>
      </c>
      <c r="K4965">
        <v>0</v>
      </c>
      <c r="L4965">
        <v>0</v>
      </c>
      <c r="M4965">
        <v>5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5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T4965" t="str">
        <f t="shared" si="675"/>
        <v>9791137601222</v>
      </c>
      <c r="AV4965" t="str">
        <f t="shared" si="669"/>
        <v>판타지 웹소설 &gt; 퓨전 판타지</v>
      </c>
    </row>
    <row r="4966" spans="1:48" x14ac:dyDescent="0.4">
      <c r="A4966">
        <v>2313014555</v>
      </c>
      <c r="B4966">
        <v>2313014567</v>
      </c>
      <c r="C4966" t="str">
        <f>T("헌터인데 내공이 좀 많네요 13화")</f>
        <v>헌터인데 내공이 좀 많네요 13화</v>
      </c>
      <c r="D4966" t="str">
        <f>T("13")</f>
        <v>13</v>
      </c>
      <c r="E4966" t="str">
        <f t="shared" si="673"/>
        <v>돈문어</v>
      </c>
      <c r="H4966" t="str">
        <f t="shared" si="676"/>
        <v>스토리위즈</v>
      </c>
      <c r="I4966" t="str">
        <f t="shared" si="674"/>
        <v>헌터인데 내공이 좀 많네요</v>
      </c>
      <c r="J4966">
        <v>0</v>
      </c>
      <c r="K4966">
        <v>0</v>
      </c>
      <c r="L4966">
        <v>0</v>
      </c>
      <c r="M4966">
        <v>4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4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T4966" t="str">
        <f t="shared" si="675"/>
        <v>9791137601222</v>
      </c>
      <c r="AV4966" t="str">
        <f t="shared" si="669"/>
        <v>판타지 웹소설 &gt; 퓨전 판타지</v>
      </c>
    </row>
    <row r="4967" spans="1:48" x14ac:dyDescent="0.4">
      <c r="A4967">
        <v>2313014555</v>
      </c>
      <c r="B4967">
        <v>2313014568</v>
      </c>
      <c r="C4967" t="str">
        <f>T("헌터인데 내공이 좀 많네요 14화")</f>
        <v>헌터인데 내공이 좀 많네요 14화</v>
      </c>
      <c r="D4967" t="str">
        <f>T("14")</f>
        <v>14</v>
      </c>
      <c r="E4967" t="str">
        <f t="shared" si="673"/>
        <v>돈문어</v>
      </c>
      <c r="H4967" t="str">
        <f t="shared" si="676"/>
        <v>스토리위즈</v>
      </c>
      <c r="I4967" t="str">
        <f t="shared" si="674"/>
        <v>헌터인데 내공이 좀 많네요</v>
      </c>
      <c r="J4967">
        <v>0</v>
      </c>
      <c r="K4967">
        <v>0</v>
      </c>
      <c r="L4967">
        <v>0</v>
      </c>
      <c r="M4967">
        <v>4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4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T4967" t="str">
        <f t="shared" si="675"/>
        <v>9791137601222</v>
      </c>
      <c r="AV4967" t="str">
        <f t="shared" si="669"/>
        <v>판타지 웹소설 &gt; 퓨전 판타지</v>
      </c>
    </row>
    <row r="4968" spans="1:48" x14ac:dyDescent="0.4">
      <c r="A4968">
        <v>2313014555</v>
      </c>
      <c r="B4968">
        <v>2313014569</v>
      </c>
      <c r="C4968" t="str">
        <f>T("헌터인데 내공이 좀 많네요 15화")</f>
        <v>헌터인데 내공이 좀 많네요 15화</v>
      </c>
      <c r="D4968" t="str">
        <f>T("15")</f>
        <v>15</v>
      </c>
      <c r="E4968" t="str">
        <f t="shared" si="673"/>
        <v>돈문어</v>
      </c>
      <c r="H4968" t="str">
        <f t="shared" si="676"/>
        <v>스토리위즈</v>
      </c>
      <c r="I4968" t="str">
        <f t="shared" si="674"/>
        <v>헌터인데 내공이 좀 많네요</v>
      </c>
      <c r="J4968">
        <v>0</v>
      </c>
      <c r="K4968">
        <v>0</v>
      </c>
      <c r="L4968">
        <v>0</v>
      </c>
      <c r="M4968">
        <v>4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4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T4968" t="str">
        <f t="shared" si="675"/>
        <v>9791137601222</v>
      </c>
      <c r="AV4968" t="str">
        <f t="shared" ref="AV4968:AV4978" si="677">T("판타지 웹소설 &gt; 퓨전 판타지")</f>
        <v>판타지 웹소설 &gt; 퓨전 판타지</v>
      </c>
    </row>
    <row r="4969" spans="1:48" x14ac:dyDescent="0.4">
      <c r="A4969">
        <v>2313014555</v>
      </c>
      <c r="B4969">
        <v>2313014570</v>
      </c>
      <c r="C4969" t="str">
        <f>T("헌터인데 내공이 좀 많네요 16화")</f>
        <v>헌터인데 내공이 좀 많네요 16화</v>
      </c>
      <c r="D4969" t="str">
        <f>T("16")</f>
        <v>16</v>
      </c>
      <c r="E4969" t="str">
        <f t="shared" si="673"/>
        <v>돈문어</v>
      </c>
      <c r="H4969" t="str">
        <f t="shared" si="676"/>
        <v>스토리위즈</v>
      </c>
      <c r="I4969" t="str">
        <f t="shared" si="674"/>
        <v>헌터인데 내공이 좀 많네요</v>
      </c>
      <c r="J4969">
        <v>0</v>
      </c>
      <c r="K4969">
        <v>0</v>
      </c>
      <c r="L4969">
        <v>0</v>
      </c>
      <c r="M4969">
        <v>4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4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T4969" t="str">
        <f t="shared" si="675"/>
        <v>9791137601222</v>
      </c>
      <c r="AV4969" t="str">
        <f t="shared" si="677"/>
        <v>판타지 웹소설 &gt; 퓨전 판타지</v>
      </c>
    </row>
    <row r="4970" spans="1:48" x14ac:dyDescent="0.4">
      <c r="A4970">
        <v>2313014555</v>
      </c>
      <c r="B4970">
        <v>2313014571</v>
      </c>
      <c r="C4970" t="str">
        <f>T("헌터인데 내공이 좀 많네요 17화")</f>
        <v>헌터인데 내공이 좀 많네요 17화</v>
      </c>
      <c r="D4970" t="str">
        <f>T("17")</f>
        <v>17</v>
      </c>
      <c r="E4970" t="str">
        <f t="shared" si="673"/>
        <v>돈문어</v>
      </c>
      <c r="H4970" t="str">
        <f t="shared" si="676"/>
        <v>스토리위즈</v>
      </c>
      <c r="I4970" t="str">
        <f t="shared" si="674"/>
        <v>헌터인데 내공이 좀 많네요</v>
      </c>
      <c r="J4970">
        <v>0</v>
      </c>
      <c r="K4970">
        <v>0</v>
      </c>
      <c r="L4970">
        <v>0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3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T4970" t="str">
        <f t="shared" si="675"/>
        <v>9791137601222</v>
      </c>
      <c r="AV4970" t="str">
        <f t="shared" si="677"/>
        <v>판타지 웹소설 &gt; 퓨전 판타지</v>
      </c>
    </row>
    <row r="4971" spans="1:48" x14ac:dyDescent="0.4">
      <c r="A4971">
        <v>2313014555</v>
      </c>
      <c r="B4971">
        <v>2313014572</v>
      </c>
      <c r="C4971" t="str">
        <f>T("헌터인데 내공이 좀 많네요 18화")</f>
        <v>헌터인데 내공이 좀 많네요 18화</v>
      </c>
      <c r="D4971" t="str">
        <f>T("18")</f>
        <v>18</v>
      </c>
      <c r="E4971" t="str">
        <f t="shared" si="673"/>
        <v>돈문어</v>
      </c>
      <c r="H4971" t="str">
        <f t="shared" si="676"/>
        <v>스토리위즈</v>
      </c>
      <c r="I4971" t="str">
        <f t="shared" si="674"/>
        <v>헌터인데 내공이 좀 많네요</v>
      </c>
      <c r="J4971">
        <v>0</v>
      </c>
      <c r="K4971">
        <v>0</v>
      </c>
      <c r="L4971">
        <v>0</v>
      </c>
      <c r="M4971">
        <v>3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3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T4971" t="str">
        <f t="shared" si="675"/>
        <v>9791137601222</v>
      </c>
      <c r="AV4971" t="str">
        <f t="shared" si="677"/>
        <v>판타지 웹소설 &gt; 퓨전 판타지</v>
      </c>
    </row>
    <row r="4972" spans="1:48" x14ac:dyDescent="0.4">
      <c r="A4972">
        <v>2313014555</v>
      </c>
      <c r="B4972">
        <v>2313014573</v>
      </c>
      <c r="C4972" t="str">
        <f>T("헌터인데 내공이 좀 많네요 19화")</f>
        <v>헌터인데 내공이 좀 많네요 19화</v>
      </c>
      <c r="D4972" t="str">
        <f>T("19")</f>
        <v>19</v>
      </c>
      <c r="E4972" t="str">
        <f t="shared" si="673"/>
        <v>돈문어</v>
      </c>
      <c r="H4972" t="str">
        <f t="shared" si="676"/>
        <v>스토리위즈</v>
      </c>
      <c r="I4972" t="str">
        <f t="shared" si="674"/>
        <v>헌터인데 내공이 좀 많네요</v>
      </c>
      <c r="J4972">
        <v>0</v>
      </c>
      <c r="K4972">
        <v>0</v>
      </c>
      <c r="L4972">
        <v>0</v>
      </c>
      <c r="M4972">
        <v>3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T4972" t="str">
        <f t="shared" si="675"/>
        <v>9791137601222</v>
      </c>
      <c r="AV4972" t="str">
        <f t="shared" si="677"/>
        <v>판타지 웹소설 &gt; 퓨전 판타지</v>
      </c>
    </row>
    <row r="4973" spans="1:48" x14ac:dyDescent="0.4">
      <c r="A4973">
        <v>2313014555</v>
      </c>
      <c r="B4973">
        <v>2313014574</v>
      </c>
      <c r="C4973" t="str">
        <f>T("헌터인데 내공이 좀 많네요 20화")</f>
        <v>헌터인데 내공이 좀 많네요 20화</v>
      </c>
      <c r="D4973" t="str">
        <f>T("20")</f>
        <v>20</v>
      </c>
      <c r="E4973" t="str">
        <f t="shared" si="673"/>
        <v>돈문어</v>
      </c>
      <c r="H4973" t="str">
        <f t="shared" si="676"/>
        <v>스토리위즈</v>
      </c>
      <c r="I4973" t="str">
        <f t="shared" si="674"/>
        <v>헌터인데 내공이 좀 많네요</v>
      </c>
      <c r="J4973">
        <v>0</v>
      </c>
      <c r="K4973">
        <v>0</v>
      </c>
      <c r="L4973">
        <v>0</v>
      </c>
      <c r="M4973">
        <v>3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3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T4973" t="str">
        <f t="shared" si="675"/>
        <v>9791137601222</v>
      </c>
      <c r="AV4973" t="str">
        <f t="shared" si="677"/>
        <v>판타지 웹소설 &gt; 퓨전 판타지</v>
      </c>
    </row>
    <row r="4974" spans="1:48" x14ac:dyDescent="0.4">
      <c r="A4974">
        <v>2313014555</v>
      </c>
      <c r="B4974">
        <v>2313014575</v>
      </c>
      <c r="C4974" t="str">
        <f>T("헌터인데 내공이 좀 많네요 21화")</f>
        <v>헌터인데 내공이 좀 많네요 21화</v>
      </c>
      <c r="D4974" t="str">
        <f>T("21")</f>
        <v>21</v>
      </c>
      <c r="E4974" t="str">
        <f t="shared" si="673"/>
        <v>돈문어</v>
      </c>
      <c r="H4974" t="str">
        <f t="shared" si="676"/>
        <v>스토리위즈</v>
      </c>
      <c r="I4974" t="str">
        <f t="shared" si="674"/>
        <v>헌터인데 내공이 좀 많네요</v>
      </c>
      <c r="J4974">
        <v>0</v>
      </c>
      <c r="K4974">
        <v>0</v>
      </c>
      <c r="L4974">
        <v>0</v>
      </c>
      <c r="M4974">
        <v>3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3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T4974" t="str">
        <f t="shared" si="675"/>
        <v>9791137601222</v>
      </c>
      <c r="AV4974" t="str">
        <f t="shared" si="677"/>
        <v>판타지 웹소설 &gt; 퓨전 판타지</v>
      </c>
    </row>
    <row r="4975" spans="1:48" x14ac:dyDescent="0.4">
      <c r="A4975">
        <v>2313014555</v>
      </c>
      <c r="B4975">
        <v>2313014576</v>
      </c>
      <c r="C4975" t="str">
        <f>T("헌터인데 내공이 좀 많네요 22화")</f>
        <v>헌터인데 내공이 좀 많네요 22화</v>
      </c>
      <c r="D4975" t="str">
        <f>T("22")</f>
        <v>22</v>
      </c>
      <c r="E4975" t="str">
        <f t="shared" si="673"/>
        <v>돈문어</v>
      </c>
      <c r="H4975" t="str">
        <f t="shared" si="676"/>
        <v>스토리위즈</v>
      </c>
      <c r="I4975" t="str">
        <f t="shared" si="674"/>
        <v>헌터인데 내공이 좀 많네요</v>
      </c>
      <c r="J4975">
        <v>0</v>
      </c>
      <c r="K4975">
        <v>0</v>
      </c>
      <c r="L4975">
        <v>0</v>
      </c>
      <c r="M4975">
        <v>3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3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T4975" t="str">
        <f t="shared" si="675"/>
        <v>9791137601222</v>
      </c>
      <c r="AV4975" t="str">
        <f t="shared" si="677"/>
        <v>판타지 웹소설 &gt; 퓨전 판타지</v>
      </c>
    </row>
    <row r="4976" spans="1:48" x14ac:dyDescent="0.4">
      <c r="A4976">
        <v>2313014555</v>
      </c>
      <c r="B4976">
        <v>2313014577</v>
      </c>
      <c r="C4976" t="str">
        <f>T("헌터인데 내공이 좀 많네요 23화")</f>
        <v>헌터인데 내공이 좀 많네요 23화</v>
      </c>
      <c r="D4976" t="str">
        <f>T("23")</f>
        <v>23</v>
      </c>
      <c r="E4976" t="str">
        <f t="shared" si="673"/>
        <v>돈문어</v>
      </c>
      <c r="H4976" t="str">
        <f t="shared" si="676"/>
        <v>스토리위즈</v>
      </c>
      <c r="I4976" t="str">
        <f t="shared" si="674"/>
        <v>헌터인데 내공이 좀 많네요</v>
      </c>
      <c r="J4976">
        <v>0</v>
      </c>
      <c r="K4976">
        <v>0</v>
      </c>
      <c r="L4976">
        <v>0</v>
      </c>
      <c r="M4976">
        <v>3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3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T4976" t="str">
        <f t="shared" si="675"/>
        <v>9791137601222</v>
      </c>
      <c r="AV4976" t="str">
        <f t="shared" si="677"/>
        <v>판타지 웹소설 &gt; 퓨전 판타지</v>
      </c>
    </row>
    <row r="4977" spans="1:48" x14ac:dyDescent="0.4">
      <c r="A4977">
        <v>2313014555</v>
      </c>
      <c r="B4977">
        <v>2313014578</v>
      </c>
      <c r="C4977" t="str">
        <f>T("헌터인데 내공이 좀 많네요 24화")</f>
        <v>헌터인데 내공이 좀 많네요 24화</v>
      </c>
      <c r="D4977" t="str">
        <f>T("24")</f>
        <v>24</v>
      </c>
      <c r="E4977" t="str">
        <f t="shared" si="673"/>
        <v>돈문어</v>
      </c>
      <c r="H4977" t="str">
        <f t="shared" si="676"/>
        <v>스토리위즈</v>
      </c>
      <c r="I4977" t="str">
        <f t="shared" si="674"/>
        <v>헌터인데 내공이 좀 많네요</v>
      </c>
      <c r="J4977">
        <v>0</v>
      </c>
      <c r="K4977">
        <v>0</v>
      </c>
      <c r="L4977">
        <v>0</v>
      </c>
      <c r="M4977">
        <v>4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4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T4977" t="str">
        <f t="shared" si="675"/>
        <v>9791137601222</v>
      </c>
      <c r="AV4977" t="str">
        <f t="shared" si="677"/>
        <v>판타지 웹소설 &gt; 퓨전 판타지</v>
      </c>
    </row>
    <row r="4978" spans="1:48" x14ac:dyDescent="0.4">
      <c r="A4978">
        <v>2313014555</v>
      </c>
      <c r="B4978">
        <v>2313014579</v>
      </c>
      <c r="C4978" t="str">
        <f>T("헌터인데 내공이 좀 많네요 25화")</f>
        <v>헌터인데 내공이 좀 많네요 25화</v>
      </c>
      <c r="D4978" t="str">
        <f>T("25")</f>
        <v>25</v>
      </c>
      <c r="E4978" t="str">
        <f t="shared" si="673"/>
        <v>돈문어</v>
      </c>
      <c r="H4978" t="str">
        <f t="shared" si="676"/>
        <v>스토리위즈</v>
      </c>
      <c r="I4978" t="str">
        <f t="shared" si="674"/>
        <v>헌터인데 내공이 좀 많네요</v>
      </c>
      <c r="J4978">
        <v>0</v>
      </c>
      <c r="K4978">
        <v>0</v>
      </c>
      <c r="L4978">
        <v>0</v>
      </c>
      <c r="M4978">
        <v>3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3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T4978" t="str">
        <f t="shared" si="675"/>
        <v>9791137601222</v>
      </c>
      <c r="AV4978" t="str">
        <f t="shared" si="677"/>
        <v>판타지 웹소설 &gt; 퓨전 판타지</v>
      </c>
    </row>
    <row r="4979" spans="1:48" x14ac:dyDescent="0.4">
      <c r="A4979">
        <v>2313015171</v>
      </c>
      <c r="B4979">
        <v>2313015171</v>
      </c>
      <c r="C4979" t="str">
        <f>T("[e북]도폐풍운록 1권")</f>
        <v>[e북]도폐풍운록 1권</v>
      </c>
      <c r="D4979" t="str">
        <f>T("1")</f>
        <v>1</v>
      </c>
      <c r="E4979" t="str">
        <f>T("무장")</f>
        <v>무장</v>
      </c>
      <c r="H4979" t="str">
        <f t="shared" si="676"/>
        <v>스토리위즈</v>
      </c>
      <c r="I4979" t="str">
        <f>T("[e북]도폐풍운록")</f>
        <v>[e북]도폐풍운록</v>
      </c>
      <c r="J4979">
        <v>0</v>
      </c>
      <c r="K4979">
        <v>0</v>
      </c>
      <c r="L4979">
        <v>0</v>
      </c>
      <c r="M4979">
        <v>7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7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R4979" t="str">
        <f>T("0000000000000")</f>
        <v>0000000000000</v>
      </c>
      <c r="AT4979" t="str">
        <f>T("9791137602809")</f>
        <v>9791137602809</v>
      </c>
      <c r="AV4979" t="str">
        <f>T("판타지 e북 &gt; 신무협")</f>
        <v>판타지 e북 &gt; 신무협</v>
      </c>
    </row>
    <row r="4980" spans="1:48" x14ac:dyDescent="0.4">
      <c r="A4980">
        <v>2313015175</v>
      </c>
      <c r="B4980">
        <v>2313015175</v>
      </c>
      <c r="C4980" t="str">
        <f>T("[e북]선유문주 1권")</f>
        <v>[e북]선유문주 1권</v>
      </c>
      <c r="D4980" t="str">
        <f>T("1")</f>
        <v>1</v>
      </c>
      <c r="E4980" t="str">
        <f>T("무장")</f>
        <v>무장</v>
      </c>
      <c r="H4980" t="str">
        <f t="shared" si="676"/>
        <v>스토리위즈</v>
      </c>
      <c r="I4980" t="str">
        <f>T("[e북]선유문주")</f>
        <v>[e북]선유문주</v>
      </c>
      <c r="J4980">
        <v>0</v>
      </c>
      <c r="K4980">
        <v>0</v>
      </c>
      <c r="L4980">
        <v>0</v>
      </c>
      <c r="M4980">
        <v>10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R4980" t="str">
        <f>T("0000000000000")</f>
        <v>0000000000000</v>
      </c>
      <c r="AT4980" t="str">
        <f>T("9791137602854")</f>
        <v>9791137602854</v>
      </c>
      <c r="AV4980" t="str">
        <f>T("판타지 e북 &gt; 신무협")</f>
        <v>판타지 e북 &gt; 신무협</v>
      </c>
    </row>
    <row r="4981" spans="1:48" x14ac:dyDescent="0.4">
      <c r="A4981">
        <v>2313015180</v>
      </c>
      <c r="B4981">
        <v>2313015180</v>
      </c>
      <c r="C4981" t="str">
        <f>T("신인류 좀비의 아포칼립스 1화")</f>
        <v>신인류 좀비의 아포칼립스 1화</v>
      </c>
      <c r="D4981" t="str">
        <f>T("1")</f>
        <v>1</v>
      </c>
      <c r="E4981" t="str">
        <f t="shared" ref="E4981:E4991" si="678">T("모험왕선우")</f>
        <v>모험왕선우</v>
      </c>
      <c r="H4981" t="str">
        <f t="shared" si="676"/>
        <v>스토리위즈</v>
      </c>
      <c r="I4981" t="str">
        <f t="shared" ref="I4981:I4991" si="679">T("신인류 좀비의 아포칼립스")</f>
        <v>신인류 좀비의 아포칼립스</v>
      </c>
      <c r="J4981">
        <v>0</v>
      </c>
      <c r="K4981">
        <v>0</v>
      </c>
      <c r="L4981">
        <v>0</v>
      </c>
      <c r="M4981">
        <v>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2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T4981" t="str">
        <f t="shared" ref="AT4981:AT4991" si="680">T("9791137601369")</f>
        <v>9791137601369</v>
      </c>
      <c r="AV4981" t="str">
        <f t="shared" ref="AV4981:AV4991" si="681">T("판타지 웹소설 &gt; 현대 판타지")</f>
        <v>판타지 웹소설 &gt; 현대 판타지</v>
      </c>
    </row>
    <row r="4982" spans="1:48" x14ac:dyDescent="0.4">
      <c r="A4982">
        <v>2313015180</v>
      </c>
      <c r="B4982">
        <v>2313015181</v>
      </c>
      <c r="C4982" t="str">
        <f>T("신인류 좀비의 아포칼립스 2화")</f>
        <v>신인류 좀비의 아포칼립스 2화</v>
      </c>
      <c r="D4982" t="str">
        <f>T("2")</f>
        <v>2</v>
      </c>
      <c r="E4982" t="str">
        <f t="shared" si="678"/>
        <v>모험왕선우</v>
      </c>
      <c r="H4982" t="str">
        <f t="shared" si="676"/>
        <v>스토리위즈</v>
      </c>
      <c r="I4982" t="str">
        <f t="shared" si="679"/>
        <v>신인류 좀비의 아포칼립스</v>
      </c>
      <c r="J4982">
        <v>0</v>
      </c>
      <c r="K4982">
        <v>0</v>
      </c>
      <c r="L4982">
        <v>0</v>
      </c>
      <c r="M4982">
        <v>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T4982" t="str">
        <f t="shared" si="680"/>
        <v>9791137601369</v>
      </c>
      <c r="AV4982" t="str">
        <f t="shared" si="681"/>
        <v>판타지 웹소설 &gt; 현대 판타지</v>
      </c>
    </row>
    <row r="4983" spans="1:48" x14ac:dyDescent="0.4">
      <c r="A4983">
        <v>2313015180</v>
      </c>
      <c r="B4983">
        <v>2313015182</v>
      </c>
      <c r="C4983" t="str">
        <f>T("신인류 좀비의 아포칼립스 3화")</f>
        <v>신인류 좀비의 아포칼립스 3화</v>
      </c>
      <c r="D4983" t="str">
        <f>T("3")</f>
        <v>3</v>
      </c>
      <c r="E4983" t="str">
        <f t="shared" si="678"/>
        <v>모험왕선우</v>
      </c>
      <c r="H4983" t="str">
        <f t="shared" si="676"/>
        <v>스토리위즈</v>
      </c>
      <c r="I4983" t="str">
        <f t="shared" si="679"/>
        <v>신인류 좀비의 아포칼립스</v>
      </c>
      <c r="J4983">
        <v>0</v>
      </c>
      <c r="K4983">
        <v>0</v>
      </c>
      <c r="L4983">
        <v>0</v>
      </c>
      <c r="M4983">
        <v>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2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T4983" t="str">
        <f t="shared" si="680"/>
        <v>9791137601369</v>
      </c>
      <c r="AV4983" t="str">
        <f t="shared" si="681"/>
        <v>판타지 웹소설 &gt; 현대 판타지</v>
      </c>
    </row>
    <row r="4984" spans="1:48" x14ac:dyDescent="0.4">
      <c r="A4984">
        <v>2313015180</v>
      </c>
      <c r="B4984">
        <v>2313015183</v>
      </c>
      <c r="C4984" t="str">
        <f>T("신인류 좀비의 아포칼립스 4화")</f>
        <v>신인류 좀비의 아포칼립스 4화</v>
      </c>
      <c r="D4984" t="str">
        <f>T("4")</f>
        <v>4</v>
      </c>
      <c r="E4984" t="str">
        <f t="shared" si="678"/>
        <v>모험왕선우</v>
      </c>
      <c r="H4984" t="str">
        <f t="shared" si="676"/>
        <v>스토리위즈</v>
      </c>
      <c r="I4984" t="str">
        <f t="shared" si="679"/>
        <v>신인류 좀비의 아포칼립스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T4984" t="str">
        <f t="shared" si="680"/>
        <v>9791137601369</v>
      </c>
      <c r="AV4984" t="str">
        <f t="shared" si="681"/>
        <v>판타지 웹소설 &gt; 현대 판타지</v>
      </c>
    </row>
    <row r="4985" spans="1:48" x14ac:dyDescent="0.4">
      <c r="A4985">
        <v>2313015180</v>
      </c>
      <c r="B4985">
        <v>2313015184</v>
      </c>
      <c r="C4985" t="str">
        <f>T("신인류 좀비의 아포칼립스 5화")</f>
        <v>신인류 좀비의 아포칼립스 5화</v>
      </c>
      <c r="D4985" t="str">
        <f>T("5")</f>
        <v>5</v>
      </c>
      <c r="E4985" t="str">
        <f t="shared" si="678"/>
        <v>모험왕선우</v>
      </c>
      <c r="H4985" t="str">
        <f t="shared" si="676"/>
        <v>스토리위즈</v>
      </c>
      <c r="I4985" t="str">
        <f t="shared" si="679"/>
        <v>신인류 좀비의 아포칼립스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T4985" t="str">
        <f t="shared" si="680"/>
        <v>9791137601369</v>
      </c>
      <c r="AV4985" t="str">
        <f t="shared" si="681"/>
        <v>판타지 웹소설 &gt; 현대 판타지</v>
      </c>
    </row>
    <row r="4986" spans="1:48" x14ac:dyDescent="0.4">
      <c r="A4986">
        <v>2313015180</v>
      </c>
      <c r="B4986">
        <v>2313015185</v>
      </c>
      <c r="C4986" t="str">
        <f>T("신인류 좀비의 아포칼립스 6화")</f>
        <v>신인류 좀비의 아포칼립스 6화</v>
      </c>
      <c r="D4986" t="str">
        <f>T("6")</f>
        <v>6</v>
      </c>
      <c r="E4986" t="str">
        <f t="shared" si="678"/>
        <v>모험왕선우</v>
      </c>
      <c r="H4986" t="str">
        <f t="shared" si="676"/>
        <v>스토리위즈</v>
      </c>
      <c r="I4986" t="str">
        <f t="shared" si="679"/>
        <v>신인류 좀비의 아포칼립스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T4986" t="str">
        <f t="shared" si="680"/>
        <v>9791137601369</v>
      </c>
      <c r="AV4986" t="str">
        <f t="shared" si="681"/>
        <v>판타지 웹소설 &gt; 현대 판타지</v>
      </c>
    </row>
    <row r="4987" spans="1:48" x14ac:dyDescent="0.4">
      <c r="A4987">
        <v>2313015180</v>
      </c>
      <c r="B4987">
        <v>2313015186</v>
      </c>
      <c r="C4987" t="str">
        <f>T("신인류 좀비의 아포칼립스 7화")</f>
        <v>신인류 좀비의 아포칼립스 7화</v>
      </c>
      <c r="D4987" t="str">
        <f>T("7")</f>
        <v>7</v>
      </c>
      <c r="E4987" t="str">
        <f t="shared" si="678"/>
        <v>모험왕선우</v>
      </c>
      <c r="H4987" t="str">
        <f t="shared" si="676"/>
        <v>스토리위즈</v>
      </c>
      <c r="I4987" t="str">
        <f t="shared" si="679"/>
        <v>신인류 좀비의 아포칼립스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T4987" t="str">
        <f t="shared" si="680"/>
        <v>9791137601369</v>
      </c>
      <c r="AV4987" t="str">
        <f t="shared" si="681"/>
        <v>판타지 웹소설 &gt; 현대 판타지</v>
      </c>
    </row>
    <row r="4988" spans="1:48" x14ac:dyDescent="0.4">
      <c r="A4988">
        <v>2313015180</v>
      </c>
      <c r="B4988">
        <v>2313015187</v>
      </c>
      <c r="C4988" t="str">
        <f>T("신인류 좀비의 아포칼립스 8화")</f>
        <v>신인류 좀비의 아포칼립스 8화</v>
      </c>
      <c r="D4988" t="str">
        <f>T("8")</f>
        <v>8</v>
      </c>
      <c r="E4988" t="str">
        <f t="shared" si="678"/>
        <v>모험왕선우</v>
      </c>
      <c r="H4988" t="str">
        <f t="shared" si="676"/>
        <v>스토리위즈</v>
      </c>
      <c r="I4988" t="str">
        <f t="shared" si="679"/>
        <v>신인류 좀비의 아포칼립스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T4988" t="str">
        <f t="shared" si="680"/>
        <v>9791137601369</v>
      </c>
      <c r="AV4988" t="str">
        <f t="shared" si="681"/>
        <v>판타지 웹소설 &gt; 현대 판타지</v>
      </c>
    </row>
    <row r="4989" spans="1:48" x14ac:dyDescent="0.4">
      <c r="A4989">
        <v>2313015180</v>
      </c>
      <c r="B4989">
        <v>2313015188</v>
      </c>
      <c r="C4989" t="str">
        <f>T("신인류 좀비의 아포칼립스 9화")</f>
        <v>신인류 좀비의 아포칼립스 9화</v>
      </c>
      <c r="D4989" t="str">
        <f>T("9")</f>
        <v>9</v>
      </c>
      <c r="E4989" t="str">
        <f t="shared" si="678"/>
        <v>모험왕선우</v>
      </c>
      <c r="H4989" t="str">
        <f t="shared" si="676"/>
        <v>스토리위즈</v>
      </c>
      <c r="I4989" t="str">
        <f t="shared" si="679"/>
        <v>신인류 좀비의 아포칼립스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T4989" t="str">
        <f t="shared" si="680"/>
        <v>9791137601369</v>
      </c>
      <c r="AV4989" t="str">
        <f t="shared" si="681"/>
        <v>판타지 웹소설 &gt; 현대 판타지</v>
      </c>
    </row>
    <row r="4990" spans="1:48" x14ac:dyDescent="0.4">
      <c r="A4990">
        <v>2313015180</v>
      </c>
      <c r="B4990">
        <v>2313015189</v>
      </c>
      <c r="C4990" t="str">
        <f>T("신인류 좀비의 아포칼립스 10화")</f>
        <v>신인류 좀비의 아포칼립스 10화</v>
      </c>
      <c r="D4990" t="str">
        <f>T("10")</f>
        <v>10</v>
      </c>
      <c r="E4990" t="str">
        <f t="shared" si="678"/>
        <v>모험왕선우</v>
      </c>
      <c r="H4990" t="str">
        <f t="shared" si="676"/>
        <v>스토리위즈</v>
      </c>
      <c r="I4990" t="str">
        <f t="shared" si="679"/>
        <v>신인류 좀비의 아포칼립스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T4990" t="str">
        <f t="shared" si="680"/>
        <v>9791137601369</v>
      </c>
      <c r="AV4990" t="str">
        <f t="shared" si="681"/>
        <v>판타지 웹소설 &gt; 현대 판타지</v>
      </c>
    </row>
    <row r="4991" spans="1:48" x14ac:dyDescent="0.4">
      <c r="A4991">
        <v>2313015180</v>
      </c>
      <c r="B4991">
        <v>2313015190</v>
      </c>
      <c r="C4991" t="str">
        <f>T("신인류 좀비의 아포칼립스 11화")</f>
        <v>신인류 좀비의 아포칼립스 11화</v>
      </c>
      <c r="D4991" t="str">
        <f>T("11")</f>
        <v>11</v>
      </c>
      <c r="E4991" t="str">
        <f t="shared" si="678"/>
        <v>모험왕선우</v>
      </c>
      <c r="H4991" t="str">
        <f t="shared" si="676"/>
        <v>스토리위즈</v>
      </c>
      <c r="I4991" t="str">
        <f t="shared" si="679"/>
        <v>신인류 좀비의 아포칼립스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1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T4991" t="str">
        <f t="shared" si="680"/>
        <v>9791137601369</v>
      </c>
      <c r="AV4991" t="str">
        <f t="shared" si="681"/>
        <v>판타지 웹소설 &gt; 현대 판타지</v>
      </c>
    </row>
    <row r="4992" spans="1:48" x14ac:dyDescent="0.4">
      <c r="A4992">
        <v>2313015349</v>
      </c>
      <c r="B4992">
        <v>2313015349</v>
      </c>
      <c r="C4992" t="str">
        <f>T("버그 걸린 드래곤 1화")</f>
        <v>버그 걸린 드래곤 1화</v>
      </c>
      <c r="D4992" t="str">
        <f>T("1")</f>
        <v>1</v>
      </c>
      <c r="E4992" t="str">
        <f t="shared" ref="E4992:E5016" si="682">T("폴딩")</f>
        <v>폴딩</v>
      </c>
      <c r="H4992" t="str">
        <f t="shared" si="676"/>
        <v>스토리위즈</v>
      </c>
      <c r="I4992" t="str">
        <f t="shared" ref="I4992:I5016" si="683">T("버그 걸린 드래곤")</f>
        <v>버그 걸린 드래곤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T4992" t="str">
        <f t="shared" ref="AT4992:AT5016" si="684">T("9791137601321")</f>
        <v>9791137601321</v>
      </c>
      <c r="AV4992" t="str">
        <f t="shared" ref="AV4992:AV5031" si="685">T("판타지 웹소설 &gt; 퓨전 판타지")</f>
        <v>판타지 웹소설 &gt; 퓨전 판타지</v>
      </c>
    </row>
    <row r="4993" spans="1:48" x14ac:dyDescent="0.4">
      <c r="A4993">
        <v>2313015349</v>
      </c>
      <c r="B4993">
        <v>2313015350</v>
      </c>
      <c r="C4993" t="str">
        <f>T("버그 걸린 드래곤 2화")</f>
        <v>버그 걸린 드래곤 2화</v>
      </c>
      <c r="D4993" t="str">
        <f>T("2")</f>
        <v>2</v>
      </c>
      <c r="E4993" t="str">
        <f t="shared" si="682"/>
        <v>폴딩</v>
      </c>
      <c r="H4993" t="str">
        <f t="shared" si="676"/>
        <v>스토리위즈</v>
      </c>
      <c r="I4993" t="str">
        <f t="shared" si="683"/>
        <v>버그 걸린 드래곤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T4993" t="str">
        <f t="shared" si="684"/>
        <v>9791137601321</v>
      </c>
      <c r="AV4993" t="str">
        <f t="shared" si="685"/>
        <v>판타지 웹소설 &gt; 퓨전 판타지</v>
      </c>
    </row>
    <row r="4994" spans="1:48" x14ac:dyDescent="0.4">
      <c r="A4994">
        <v>2313015349</v>
      </c>
      <c r="B4994">
        <v>2313015351</v>
      </c>
      <c r="C4994" t="str">
        <f>T("버그 걸린 드래곤 3화")</f>
        <v>버그 걸린 드래곤 3화</v>
      </c>
      <c r="D4994" t="str">
        <f>T("3")</f>
        <v>3</v>
      </c>
      <c r="E4994" t="str">
        <f t="shared" si="682"/>
        <v>폴딩</v>
      </c>
      <c r="H4994" t="str">
        <f t="shared" si="676"/>
        <v>스토리위즈</v>
      </c>
      <c r="I4994" t="str">
        <f t="shared" si="683"/>
        <v>버그 걸린 드래곤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T4994" t="str">
        <f t="shared" si="684"/>
        <v>9791137601321</v>
      </c>
      <c r="AV4994" t="str">
        <f t="shared" si="685"/>
        <v>판타지 웹소설 &gt; 퓨전 판타지</v>
      </c>
    </row>
    <row r="4995" spans="1:48" x14ac:dyDescent="0.4">
      <c r="A4995">
        <v>2313015349</v>
      </c>
      <c r="B4995">
        <v>2313015352</v>
      </c>
      <c r="C4995" t="str">
        <f>T("버그 걸린 드래곤 4화")</f>
        <v>버그 걸린 드래곤 4화</v>
      </c>
      <c r="D4995" t="str">
        <f>T("4")</f>
        <v>4</v>
      </c>
      <c r="E4995" t="str">
        <f t="shared" si="682"/>
        <v>폴딩</v>
      </c>
      <c r="H4995" t="str">
        <f t="shared" si="676"/>
        <v>스토리위즈</v>
      </c>
      <c r="I4995" t="str">
        <f t="shared" si="683"/>
        <v>버그 걸린 드래곤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T4995" t="str">
        <f t="shared" si="684"/>
        <v>9791137601321</v>
      </c>
      <c r="AV4995" t="str">
        <f t="shared" si="685"/>
        <v>판타지 웹소설 &gt; 퓨전 판타지</v>
      </c>
    </row>
    <row r="4996" spans="1:48" x14ac:dyDescent="0.4">
      <c r="A4996">
        <v>2313015349</v>
      </c>
      <c r="B4996">
        <v>2313015353</v>
      </c>
      <c r="C4996" t="str">
        <f>T("버그 걸린 드래곤 5화")</f>
        <v>버그 걸린 드래곤 5화</v>
      </c>
      <c r="D4996" t="str">
        <f>T("5")</f>
        <v>5</v>
      </c>
      <c r="E4996" t="str">
        <f t="shared" si="682"/>
        <v>폴딩</v>
      </c>
      <c r="H4996" t="str">
        <f t="shared" si="676"/>
        <v>스토리위즈</v>
      </c>
      <c r="I4996" t="str">
        <f t="shared" si="683"/>
        <v>버그 걸린 드래곤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T4996" t="str">
        <f t="shared" si="684"/>
        <v>9791137601321</v>
      </c>
      <c r="AV4996" t="str">
        <f t="shared" si="685"/>
        <v>판타지 웹소설 &gt; 퓨전 판타지</v>
      </c>
    </row>
    <row r="4997" spans="1:48" x14ac:dyDescent="0.4">
      <c r="A4997">
        <v>2313015349</v>
      </c>
      <c r="B4997">
        <v>2313015354</v>
      </c>
      <c r="C4997" t="str">
        <f>T("버그 걸린 드래곤 6화")</f>
        <v>버그 걸린 드래곤 6화</v>
      </c>
      <c r="D4997" t="str">
        <f>T("6")</f>
        <v>6</v>
      </c>
      <c r="E4997" t="str">
        <f t="shared" si="682"/>
        <v>폴딩</v>
      </c>
      <c r="H4997" t="str">
        <f t="shared" si="676"/>
        <v>스토리위즈</v>
      </c>
      <c r="I4997" t="str">
        <f t="shared" si="683"/>
        <v>버그 걸린 드래곤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T4997" t="str">
        <f t="shared" si="684"/>
        <v>9791137601321</v>
      </c>
      <c r="AV4997" t="str">
        <f t="shared" si="685"/>
        <v>판타지 웹소설 &gt; 퓨전 판타지</v>
      </c>
    </row>
    <row r="4998" spans="1:48" x14ac:dyDescent="0.4">
      <c r="A4998">
        <v>2313015349</v>
      </c>
      <c r="B4998">
        <v>2313015355</v>
      </c>
      <c r="C4998" t="str">
        <f>T("버그 걸린 드래곤 7화")</f>
        <v>버그 걸린 드래곤 7화</v>
      </c>
      <c r="D4998" t="str">
        <f>T("7")</f>
        <v>7</v>
      </c>
      <c r="E4998" t="str">
        <f t="shared" si="682"/>
        <v>폴딩</v>
      </c>
      <c r="H4998" t="str">
        <f t="shared" si="676"/>
        <v>스토리위즈</v>
      </c>
      <c r="I4998" t="str">
        <f t="shared" si="683"/>
        <v>버그 걸린 드래곤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T4998" t="str">
        <f t="shared" si="684"/>
        <v>9791137601321</v>
      </c>
      <c r="AV4998" t="str">
        <f t="shared" si="685"/>
        <v>판타지 웹소설 &gt; 퓨전 판타지</v>
      </c>
    </row>
    <row r="4999" spans="1:48" x14ac:dyDescent="0.4">
      <c r="A4999">
        <v>2313015349</v>
      </c>
      <c r="B4999">
        <v>2313015356</v>
      </c>
      <c r="C4999" t="str">
        <f>T("버그 걸린 드래곤 8화")</f>
        <v>버그 걸린 드래곤 8화</v>
      </c>
      <c r="D4999" t="str">
        <f>T("8")</f>
        <v>8</v>
      </c>
      <c r="E4999" t="str">
        <f t="shared" si="682"/>
        <v>폴딩</v>
      </c>
      <c r="H4999" t="str">
        <f t="shared" si="676"/>
        <v>스토리위즈</v>
      </c>
      <c r="I4999" t="str">
        <f t="shared" si="683"/>
        <v>버그 걸린 드래곤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T4999" t="str">
        <f t="shared" si="684"/>
        <v>9791137601321</v>
      </c>
      <c r="AV4999" t="str">
        <f t="shared" si="685"/>
        <v>판타지 웹소설 &gt; 퓨전 판타지</v>
      </c>
    </row>
    <row r="5000" spans="1:48" x14ac:dyDescent="0.4">
      <c r="A5000">
        <v>2313015349</v>
      </c>
      <c r="B5000">
        <v>2313015357</v>
      </c>
      <c r="C5000" t="str">
        <f>T("버그 걸린 드래곤 9화")</f>
        <v>버그 걸린 드래곤 9화</v>
      </c>
      <c r="D5000" t="str">
        <f>T("9")</f>
        <v>9</v>
      </c>
      <c r="E5000" t="str">
        <f t="shared" si="682"/>
        <v>폴딩</v>
      </c>
      <c r="H5000" t="str">
        <f t="shared" si="676"/>
        <v>스토리위즈</v>
      </c>
      <c r="I5000" t="str">
        <f t="shared" si="683"/>
        <v>버그 걸린 드래곤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T5000" t="str">
        <f t="shared" si="684"/>
        <v>9791137601321</v>
      </c>
      <c r="AV5000" t="str">
        <f t="shared" si="685"/>
        <v>판타지 웹소설 &gt; 퓨전 판타지</v>
      </c>
    </row>
    <row r="5001" spans="1:48" x14ac:dyDescent="0.4">
      <c r="A5001">
        <v>2313015349</v>
      </c>
      <c r="B5001">
        <v>2313015358</v>
      </c>
      <c r="C5001" t="str">
        <f>T("버그 걸린 드래곤 10화")</f>
        <v>버그 걸린 드래곤 10화</v>
      </c>
      <c r="D5001" t="str">
        <f>T("10")</f>
        <v>10</v>
      </c>
      <c r="E5001" t="str">
        <f t="shared" si="682"/>
        <v>폴딩</v>
      </c>
      <c r="H5001" t="str">
        <f t="shared" si="676"/>
        <v>스토리위즈</v>
      </c>
      <c r="I5001" t="str">
        <f t="shared" si="683"/>
        <v>버그 걸린 드래곤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T5001" t="str">
        <f t="shared" si="684"/>
        <v>9791137601321</v>
      </c>
      <c r="AV5001" t="str">
        <f t="shared" si="685"/>
        <v>판타지 웹소설 &gt; 퓨전 판타지</v>
      </c>
    </row>
    <row r="5002" spans="1:48" x14ac:dyDescent="0.4">
      <c r="A5002">
        <v>2313015349</v>
      </c>
      <c r="B5002">
        <v>2313015359</v>
      </c>
      <c r="C5002" t="str">
        <f>T("버그 걸린 드래곤 11화")</f>
        <v>버그 걸린 드래곤 11화</v>
      </c>
      <c r="D5002" t="str">
        <f>T("11")</f>
        <v>11</v>
      </c>
      <c r="E5002" t="str">
        <f t="shared" si="682"/>
        <v>폴딩</v>
      </c>
      <c r="H5002" t="str">
        <f t="shared" si="676"/>
        <v>스토리위즈</v>
      </c>
      <c r="I5002" t="str">
        <f t="shared" si="683"/>
        <v>버그 걸린 드래곤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T5002" t="str">
        <f t="shared" si="684"/>
        <v>9791137601321</v>
      </c>
      <c r="AV5002" t="str">
        <f t="shared" si="685"/>
        <v>판타지 웹소설 &gt; 퓨전 판타지</v>
      </c>
    </row>
    <row r="5003" spans="1:48" x14ac:dyDescent="0.4">
      <c r="A5003">
        <v>2313015349</v>
      </c>
      <c r="B5003">
        <v>2313015360</v>
      </c>
      <c r="C5003" t="str">
        <f>T("버그 걸린 드래곤 12화")</f>
        <v>버그 걸린 드래곤 12화</v>
      </c>
      <c r="D5003" t="str">
        <f>T("12")</f>
        <v>12</v>
      </c>
      <c r="E5003" t="str">
        <f t="shared" si="682"/>
        <v>폴딩</v>
      </c>
      <c r="H5003" t="str">
        <f t="shared" si="676"/>
        <v>스토리위즈</v>
      </c>
      <c r="I5003" t="str">
        <f t="shared" si="683"/>
        <v>버그 걸린 드래곤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T5003" t="str">
        <f t="shared" si="684"/>
        <v>9791137601321</v>
      </c>
      <c r="AV5003" t="str">
        <f t="shared" si="685"/>
        <v>판타지 웹소설 &gt; 퓨전 판타지</v>
      </c>
    </row>
    <row r="5004" spans="1:48" x14ac:dyDescent="0.4">
      <c r="A5004">
        <v>2313015349</v>
      </c>
      <c r="B5004">
        <v>2313015361</v>
      </c>
      <c r="C5004" t="str">
        <f>T("버그 걸린 드래곤 13화")</f>
        <v>버그 걸린 드래곤 13화</v>
      </c>
      <c r="D5004" t="str">
        <f>T("13")</f>
        <v>13</v>
      </c>
      <c r="E5004" t="str">
        <f t="shared" si="682"/>
        <v>폴딩</v>
      </c>
      <c r="H5004" t="str">
        <f t="shared" si="676"/>
        <v>스토리위즈</v>
      </c>
      <c r="I5004" t="str">
        <f t="shared" si="683"/>
        <v>버그 걸린 드래곤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T5004" t="str">
        <f t="shared" si="684"/>
        <v>9791137601321</v>
      </c>
      <c r="AV5004" t="str">
        <f t="shared" si="685"/>
        <v>판타지 웹소설 &gt; 퓨전 판타지</v>
      </c>
    </row>
    <row r="5005" spans="1:48" x14ac:dyDescent="0.4">
      <c r="A5005">
        <v>2313015349</v>
      </c>
      <c r="B5005">
        <v>2313015362</v>
      </c>
      <c r="C5005" t="str">
        <f>T("버그 걸린 드래곤 14화")</f>
        <v>버그 걸린 드래곤 14화</v>
      </c>
      <c r="D5005" t="str">
        <f>T("14")</f>
        <v>14</v>
      </c>
      <c r="E5005" t="str">
        <f t="shared" si="682"/>
        <v>폴딩</v>
      </c>
      <c r="H5005" t="str">
        <f t="shared" si="676"/>
        <v>스토리위즈</v>
      </c>
      <c r="I5005" t="str">
        <f t="shared" si="683"/>
        <v>버그 걸린 드래곤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T5005" t="str">
        <f t="shared" si="684"/>
        <v>9791137601321</v>
      </c>
      <c r="AV5005" t="str">
        <f t="shared" si="685"/>
        <v>판타지 웹소설 &gt; 퓨전 판타지</v>
      </c>
    </row>
    <row r="5006" spans="1:48" x14ac:dyDescent="0.4">
      <c r="A5006">
        <v>2313015349</v>
      </c>
      <c r="B5006">
        <v>2313015363</v>
      </c>
      <c r="C5006" t="str">
        <f>T("버그 걸린 드래곤 15화")</f>
        <v>버그 걸린 드래곤 15화</v>
      </c>
      <c r="D5006" t="str">
        <f>T("15")</f>
        <v>15</v>
      </c>
      <c r="E5006" t="str">
        <f t="shared" si="682"/>
        <v>폴딩</v>
      </c>
      <c r="H5006" t="str">
        <f t="shared" si="676"/>
        <v>스토리위즈</v>
      </c>
      <c r="I5006" t="str">
        <f t="shared" si="683"/>
        <v>버그 걸린 드래곤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T5006" t="str">
        <f t="shared" si="684"/>
        <v>9791137601321</v>
      </c>
      <c r="AV5006" t="str">
        <f t="shared" si="685"/>
        <v>판타지 웹소설 &gt; 퓨전 판타지</v>
      </c>
    </row>
    <row r="5007" spans="1:48" x14ac:dyDescent="0.4">
      <c r="A5007">
        <v>2313015349</v>
      </c>
      <c r="B5007">
        <v>2313015364</v>
      </c>
      <c r="C5007" t="str">
        <f>T("버그 걸린 드래곤 16화")</f>
        <v>버그 걸린 드래곤 16화</v>
      </c>
      <c r="D5007" t="str">
        <f>T("16")</f>
        <v>16</v>
      </c>
      <c r="E5007" t="str">
        <f t="shared" si="682"/>
        <v>폴딩</v>
      </c>
      <c r="H5007" t="str">
        <f t="shared" si="676"/>
        <v>스토리위즈</v>
      </c>
      <c r="I5007" t="str">
        <f t="shared" si="683"/>
        <v>버그 걸린 드래곤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T5007" t="str">
        <f t="shared" si="684"/>
        <v>9791137601321</v>
      </c>
      <c r="AV5007" t="str">
        <f t="shared" si="685"/>
        <v>판타지 웹소설 &gt; 퓨전 판타지</v>
      </c>
    </row>
    <row r="5008" spans="1:48" x14ac:dyDescent="0.4">
      <c r="A5008">
        <v>2313015349</v>
      </c>
      <c r="B5008">
        <v>2313015365</v>
      </c>
      <c r="C5008" t="str">
        <f>T("버그 걸린 드래곤 17화")</f>
        <v>버그 걸린 드래곤 17화</v>
      </c>
      <c r="D5008" t="str">
        <f>T("17")</f>
        <v>17</v>
      </c>
      <c r="E5008" t="str">
        <f t="shared" si="682"/>
        <v>폴딩</v>
      </c>
      <c r="H5008" t="str">
        <f t="shared" si="676"/>
        <v>스토리위즈</v>
      </c>
      <c r="I5008" t="str">
        <f t="shared" si="683"/>
        <v>버그 걸린 드래곤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T5008" t="str">
        <f t="shared" si="684"/>
        <v>9791137601321</v>
      </c>
      <c r="AV5008" t="str">
        <f t="shared" si="685"/>
        <v>판타지 웹소설 &gt; 퓨전 판타지</v>
      </c>
    </row>
    <row r="5009" spans="1:48" x14ac:dyDescent="0.4">
      <c r="A5009">
        <v>2313015349</v>
      </c>
      <c r="B5009">
        <v>2313015366</v>
      </c>
      <c r="C5009" t="str">
        <f>T("버그 걸린 드래곤 18화")</f>
        <v>버그 걸린 드래곤 18화</v>
      </c>
      <c r="D5009" t="str">
        <f>T("18")</f>
        <v>18</v>
      </c>
      <c r="E5009" t="str">
        <f t="shared" si="682"/>
        <v>폴딩</v>
      </c>
      <c r="H5009" t="str">
        <f t="shared" si="676"/>
        <v>스토리위즈</v>
      </c>
      <c r="I5009" t="str">
        <f t="shared" si="683"/>
        <v>버그 걸린 드래곤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T5009" t="str">
        <f t="shared" si="684"/>
        <v>9791137601321</v>
      </c>
      <c r="AV5009" t="str">
        <f t="shared" si="685"/>
        <v>판타지 웹소설 &gt; 퓨전 판타지</v>
      </c>
    </row>
    <row r="5010" spans="1:48" x14ac:dyDescent="0.4">
      <c r="A5010">
        <v>2313015349</v>
      </c>
      <c r="B5010">
        <v>2313015367</v>
      </c>
      <c r="C5010" t="str">
        <f>T("버그 걸린 드래곤 19화")</f>
        <v>버그 걸린 드래곤 19화</v>
      </c>
      <c r="D5010" t="str">
        <f>T("19")</f>
        <v>19</v>
      </c>
      <c r="E5010" t="str">
        <f t="shared" si="682"/>
        <v>폴딩</v>
      </c>
      <c r="H5010" t="str">
        <f t="shared" si="676"/>
        <v>스토리위즈</v>
      </c>
      <c r="I5010" t="str">
        <f t="shared" si="683"/>
        <v>버그 걸린 드래곤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T5010" t="str">
        <f t="shared" si="684"/>
        <v>9791137601321</v>
      </c>
      <c r="AV5010" t="str">
        <f t="shared" si="685"/>
        <v>판타지 웹소설 &gt; 퓨전 판타지</v>
      </c>
    </row>
    <row r="5011" spans="1:48" x14ac:dyDescent="0.4">
      <c r="A5011">
        <v>2313015349</v>
      </c>
      <c r="B5011">
        <v>2313015368</v>
      </c>
      <c r="C5011" t="str">
        <f>T("버그 걸린 드래곤 20화")</f>
        <v>버그 걸린 드래곤 20화</v>
      </c>
      <c r="D5011" t="str">
        <f>T("20")</f>
        <v>20</v>
      </c>
      <c r="E5011" t="str">
        <f t="shared" si="682"/>
        <v>폴딩</v>
      </c>
      <c r="H5011" t="str">
        <f t="shared" si="676"/>
        <v>스토리위즈</v>
      </c>
      <c r="I5011" t="str">
        <f t="shared" si="683"/>
        <v>버그 걸린 드래곤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T5011" t="str">
        <f t="shared" si="684"/>
        <v>9791137601321</v>
      </c>
      <c r="AV5011" t="str">
        <f t="shared" si="685"/>
        <v>판타지 웹소설 &gt; 퓨전 판타지</v>
      </c>
    </row>
    <row r="5012" spans="1:48" x14ac:dyDescent="0.4">
      <c r="A5012">
        <v>2313015349</v>
      </c>
      <c r="B5012">
        <v>2313015369</v>
      </c>
      <c r="C5012" t="str">
        <f>T("버그 걸린 드래곤 21화")</f>
        <v>버그 걸린 드래곤 21화</v>
      </c>
      <c r="D5012" t="str">
        <f>T("21")</f>
        <v>21</v>
      </c>
      <c r="E5012" t="str">
        <f t="shared" si="682"/>
        <v>폴딩</v>
      </c>
      <c r="H5012" t="str">
        <f t="shared" si="676"/>
        <v>스토리위즈</v>
      </c>
      <c r="I5012" t="str">
        <f t="shared" si="683"/>
        <v>버그 걸린 드래곤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T5012" t="str">
        <f t="shared" si="684"/>
        <v>9791137601321</v>
      </c>
      <c r="AV5012" t="str">
        <f t="shared" si="685"/>
        <v>판타지 웹소설 &gt; 퓨전 판타지</v>
      </c>
    </row>
    <row r="5013" spans="1:48" x14ac:dyDescent="0.4">
      <c r="A5013">
        <v>2313015349</v>
      </c>
      <c r="B5013">
        <v>2313015370</v>
      </c>
      <c r="C5013" t="str">
        <f>T("버그 걸린 드래곤 22화")</f>
        <v>버그 걸린 드래곤 22화</v>
      </c>
      <c r="D5013" t="str">
        <f>T("22")</f>
        <v>22</v>
      </c>
      <c r="E5013" t="str">
        <f t="shared" si="682"/>
        <v>폴딩</v>
      </c>
      <c r="H5013" t="str">
        <f t="shared" si="676"/>
        <v>스토리위즈</v>
      </c>
      <c r="I5013" t="str">
        <f t="shared" si="683"/>
        <v>버그 걸린 드래곤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T5013" t="str">
        <f t="shared" si="684"/>
        <v>9791137601321</v>
      </c>
      <c r="AV5013" t="str">
        <f t="shared" si="685"/>
        <v>판타지 웹소설 &gt; 퓨전 판타지</v>
      </c>
    </row>
    <row r="5014" spans="1:48" x14ac:dyDescent="0.4">
      <c r="A5014">
        <v>2313015349</v>
      </c>
      <c r="B5014">
        <v>2313015371</v>
      </c>
      <c r="C5014" t="str">
        <f>T("버그 걸린 드래곤 23화")</f>
        <v>버그 걸린 드래곤 23화</v>
      </c>
      <c r="D5014" t="str">
        <f>T("23")</f>
        <v>23</v>
      </c>
      <c r="E5014" t="str">
        <f t="shared" si="682"/>
        <v>폴딩</v>
      </c>
      <c r="H5014" t="str">
        <f t="shared" si="676"/>
        <v>스토리위즈</v>
      </c>
      <c r="I5014" t="str">
        <f t="shared" si="683"/>
        <v>버그 걸린 드래곤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T5014" t="str">
        <f t="shared" si="684"/>
        <v>9791137601321</v>
      </c>
      <c r="AV5014" t="str">
        <f t="shared" si="685"/>
        <v>판타지 웹소설 &gt; 퓨전 판타지</v>
      </c>
    </row>
    <row r="5015" spans="1:48" x14ac:dyDescent="0.4">
      <c r="A5015">
        <v>2313015349</v>
      </c>
      <c r="B5015">
        <v>2313015372</v>
      </c>
      <c r="C5015" t="str">
        <f>T("버그 걸린 드래곤 24화")</f>
        <v>버그 걸린 드래곤 24화</v>
      </c>
      <c r="D5015" t="str">
        <f>T("24")</f>
        <v>24</v>
      </c>
      <c r="E5015" t="str">
        <f t="shared" si="682"/>
        <v>폴딩</v>
      </c>
      <c r="H5015" t="str">
        <f t="shared" si="676"/>
        <v>스토리위즈</v>
      </c>
      <c r="I5015" t="str">
        <f t="shared" si="683"/>
        <v>버그 걸린 드래곤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T5015" t="str">
        <f t="shared" si="684"/>
        <v>9791137601321</v>
      </c>
      <c r="AV5015" t="str">
        <f t="shared" si="685"/>
        <v>판타지 웹소설 &gt; 퓨전 판타지</v>
      </c>
    </row>
    <row r="5016" spans="1:48" x14ac:dyDescent="0.4">
      <c r="A5016">
        <v>2313015349</v>
      </c>
      <c r="B5016">
        <v>2313015373</v>
      </c>
      <c r="C5016" t="str">
        <f>T("버그 걸린 드래곤 25화")</f>
        <v>버그 걸린 드래곤 25화</v>
      </c>
      <c r="D5016" t="str">
        <f>T("25")</f>
        <v>25</v>
      </c>
      <c r="E5016" t="str">
        <f t="shared" si="682"/>
        <v>폴딩</v>
      </c>
      <c r="H5016" t="str">
        <f t="shared" si="676"/>
        <v>스토리위즈</v>
      </c>
      <c r="I5016" t="str">
        <f t="shared" si="683"/>
        <v>버그 걸린 드래곤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T5016" t="str">
        <f t="shared" si="684"/>
        <v>9791137601321</v>
      </c>
      <c r="AV5016" t="str">
        <f t="shared" si="685"/>
        <v>판타지 웹소설 &gt; 퓨전 판타지</v>
      </c>
    </row>
    <row r="5017" spans="1:48" x14ac:dyDescent="0.4">
      <c r="A5017">
        <v>2313015494</v>
      </c>
      <c r="B5017">
        <v>2313015495</v>
      </c>
      <c r="C5017" t="str">
        <f>T("회귀했는데 FFF급 부두술사 2화")</f>
        <v>회귀했는데 FFF급 부두술사 2화</v>
      </c>
      <c r="D5017" t="str">
        <f>T("2")</f>
        <v>2</v>
      </c>
      <c r="E5017" t="str">
        <f t="shared" ref="E5017:E5031" si="686">T("빡선생")</f>
        <v>빡선생</v>
      </c>
      <c r="H5017" t="str">
        <f t="shared" si="676"/>
        <v>스토리위즈</v>
      </c>
      <c r="I5017" t="str">
        <f t="shared" ref="I5017:I5031" si="687">T("회귀했는데 FFF급 부두술사")</f>
        <v>회귀했는데 FFF급 부두술사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T5017" t="str">
        <f t="shared" ref="AT5017:AT5031" si="688">T("9791166069642")</f>
        <v>9791166069642</v>
      </c>
      <c r="AV5017" t="str">
        <f t="shared" si="685"/>
        <v>판타지 웹소설 &gt; 퓨전 판타지</v>
      </c>
    </row>
    <row r="5018" spans="1:48" x14ac:dyDescent="0.4">
      <c r="A5018">
        <v>2313015494</v>
      </c>
      <c r="B5018">
        <v>2313015496</v>
      </c>
      <c r="C5018" t="str">
        <f>T("회귀했는데 FFF급 부두술사 3화")</f>
        <v>회귀했는데 FFF급 부두술사 3화</v>
      </c>
      <c r="D5018" t="str">
        <f>T("3")</f>
        <v>3</v>
      </c>
      <c r="E5018" t="str">
        <f t="shared" si="686"/>
        <v>빡선생</v>
      </c>
      <c r="H5018" t="str">
        <f t="shared" si="676"/>
        <v>스토리위즈</v>
      </c>
      <c r="I5018" t="str">
        <f t="shared" si="687"/>
        <v>회귀했는데 FFF급 부두술사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T5018" t="str">
        <f t="shared" si="688"/>
        <v>9791166069642</v>
      </c>
      <c r="AV5018" t="str">
        <f t="shared" si="685"/>
        <v>판타지 웹소설 &gt; 퓨전 판타지</v>
      </c>
    </row>
    <row r="5019" spans="1:48" x14ac:dyDescent="0.4">
      <c r="A5019">
        <v>2313015494</v>
      </c>
      <c r="B5019">
        <v>2313015497</v>
      </c>
      <c r="C5019" t="str">
        <f>T("회귀했는데 FFF급 부두술사 4화")</f>
        <v>회귀했는데 FFF급 부두술사 4화</v>
      </c>
      <c r="D5019" t="str">
        <f>T("4")</f>
        <v>4</v>
      </c>
      <c r="E5019" t="str">
        <f t="shared" si="686"/>
        <v>빡선생</v>
      </c>
      <c r="H5019" t="str">
        <f t="shared" si="676"/>
        <v>스토리위즈</v>
      </c>
      <c r="I5019" t="str">
        <f t="shared" si="687"/>
        <v>회귀했는데 FFF급 부두술사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T5019" t="str">
        <f t="shared" si="688"/>
        <v>9791166069642</v>
      </c>
      <c r="AV5019" t="str">
        <f t="shared" si="685"/>
        <v>판타지 웹소설 &gt; 퓨전 판타지</v>
      </c>
    </row>
    <row r="5020" spans="1:48" x14ac:dyDescent="0.4">
      <c r="A5020">
        <v>2313015494</v>
      </c>
      <c r="B5020">
        <v>2313015498</v>
      </c>
      <c r="C5020" t="str">
        <f>T("회귀했는데 FFF급 부두술사 5화")</f>
        <v>회귀했는데 FFF급 부두술사 5화</v>
      </c>
      <c r="D5020" t="str">
        <f>T("5")</f>
        <v>5</v>
      </c>
      <c r="E5020" t="str">
        <f t="shared" si="686"/>
        <v>빡선생</v>
      </c>
      <c r="H5020" t="str">
        <f t="shared" si="676"/>
        <v>스토리위즈</v>
      </c>
      <c r="I5020" t="str">
        <f t="shared" si="687"/>
        <v>회귀했는데 FFF급 부두술사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T5020" t="str">
        <f t="shared" si="688"/>
        <v>9791166069642</v>
      </c>
      <c r="AV5020" t="str">
        <f t="shared" si="685"/>
        <v>판타지 웹소설 &gt; 퓨전 판타지</v>
      </c>
    </row>
    <row r="5021" spans="1:48" x14ac:dyDescent="0.4">
      <c r="A5021">
        <v>2313015494</v>
      </c>
      <c r="B5021">
        <v>2313015499</v>
      </c>
      <c r="C5021" t="str">
        <f>T("회귀했는데 FFF급 부두술사 6화")</f>
        <v>회귀했는데 FFF급 부두술사 6화</v>
      </c>
      <c r="D5021" t="str">
        <f>T("6")</f>
        <v>6</v>
      </c>
      <c r="E5021" t="str">
        <f t="shared" si="686"/>
        <v>빡선생</v>
      </c>
      <c r="H5021" t="str">
        <f t="shared" si="676"/>
        <v>스토리위즈</v>
      </c>
      <c r="I5021" t="str">
        <f t="shared" si="687"/>
        <v>회귀했는데 FFF급 부두술사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T5021" t="str">
        <f t="shared" si="688"/>
        <v>9791166069642</v>
      </c>
      <c r="AV5021" t="str">
        <f t="shared" si="685"/>
        <v>판타지 웹소설 &gt; 퓨전 판타지</v>
      </c>
    </row>
    <row r="5022" spans="1:48" x14ac:dyDescent="0.4">
      <c r="A5022">
        <v>2313015494</v>
      </c>
      <c r="B5022">
        <v>2313015500</v>
      </c>
      <c r="C5022" t="str">
        <f>T("회귀했는데 FFF급 부두술사 7화")</f>
        <v>회귀했는데 FFF급 부두술사 7화</v>
      </c>
      <c r="D5022" t="str">
        <f>T("7")</f>
        <v>7</v>
      </c>
      <c r="E5022" t="str">
        <f t="shared" si="686"/>
        <v>빡선생</v>
      </c>
      <c r="H5022" t="str">
        <f t="shared" si="676"/>
        <v>스토리위즈</v>
      </c>
      <c r="I5022" t="str">
        <f t="shared" si="687"/>
        <v>회귀했는데 FFF급 부두술사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T5022" t="str">
        <f t="shared" si="688"/>
        <v>9791166069642</v>
      </c>
      <c r="AV5022" t="str">
        <f t="shared" si="685"/>
        <v>판타지 웹소설 &gt; 퓨전 판타지</v>
      </c>
    </row>
    <row r="5023" spans="1:48" x14ac:dyDescent="0.4">
      <c r="A5023">
        <v>2313015494</v>
      </c>
      <c r="B5023">
        <v>2313015501</v>
      </c>
      <c r="C5023" t="str">
        <f>T("회귀했는데 FFF급 부두술사 8화")</f>
        <v>회귀했는데 FFF급 부두술사 8화</v>
      </c>
      <c r="D5023" t="str">
        <f>T("8")</f>
        <v>8</v>
      </c>
      <c r="E5023" t="str">
        <f t="shared" si="686"/>
        <v>빡선생</v>
      </c>
      <c r="H5023" t="str">
        <f t="shared" ref="H5023:H5086" si="689">T("스토리위즈")</f>
        <v>스토리위즈</v>
      </c>
      <c r="I5023" t="str">
        <f t="shared" si="687"/>
        <v>회귀했는데 FFF급 부두술사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T5023" t="str">
        <f t="shared" si="688"/>
        <v>9791166069642</v>
      </c>
      <c r="AV5023" t="str">
        <f t="shared" si="685"/>
        <v>판타지 웹소설 &gt; 퓨전 판타지</v>
      </c>
    </row>
    <row r="5024" spans="1:48" x14ac:dyDescent="0.4">
      <c r="A5024">
        <v>2313015494</v>
      </c>
      <c r="B5024">
        <v>2313015502</v>
      </c>
      <c r="C5024" t="str">
        <f>T("회귀했는데 FFF급 부두술사 9화")</f>
        <v>회귀했는데 FFF급 부두술사 9화</v>
      </c>
      <c r="D5024" t="str">
        <f>T("9")</f>
        <v>9</v>
      </c>
      <c r="E5024" t="str">
        <f t="shared" si="686"/>
        <v>빡선생</v>
      </c>
      <c r="H5024" t="str">
        <f t="shared" si="689"/>
        <v>스토리위즈</v>
      </c>
      <c r="I5024" t="str">
        <f t="shared" si="687"/>
        <v>회귀했는데 FFF급 부두술사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T5024" t="str">
        <f t="shared" si="688"/>
        <v>9791166069642</v>
      </c>
      <c r="AV5024" t="str">
        <f t="shared" si="685"/>
        <v>판타지 웹소설 &gt; 퓨전 판타지</v>
      </c>
    </row>
    <row r="5025" spans="1:48" x14ac:dyDescent="0.4">
      <c r="A5025">
        <v>2313015494</v>
      </c>
      <c r="B5025">
        <v>2313015503</v>
      </c>
      <c r="C5025" t="str">
        <f>T("회귀했는데 FFF급 부두술사 10화")</f>
        <v>회귀했는데 FFF급 부두술사 10화</v>
      </c>
      <c r="D5025" t="str">
        <f>T("10")</f>
        <v>10</v>
      </c>
      <c r="E5025" t="str">
        <f t="shared" si="686"/>
        <v>빡선생</v>
      </c>
      <c r="H5025" t="str">
        <f t="shared" si="689"/>
        <v>스토리위즈</v>
      </c>
      <c r="I5025" t="str">
        <f t="shared" si="687"/>
        <v>회귀했는데 FFF급 부두술사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T5025" t="str">
        <f t="shared" si="688"/>
        <v>9791166069642</v>
      </c>
      <c r="AV5025" t="str">
        <f t="shared" si="685"/>
        <v>판타지 웹소설 &gt; 퓨전 판타지</v>
      </c>
    </row>
    <row r="5026" spans="1:48" x14ac:dyDescent="0.4">
      <c r="A5026">
        <v>2313015494</v>
      </c>
      <c r="B5026">
        <v>2313015504</v>
      </c>
      <c r="C5026" t="str">
        <f>T("회귀했는데 FFF급 부두술사 11화")</f>
        <v>회귀했는데 FFF급 부두술사 11화</v>
      </c>
      <c r="D5026" t="str">
        <f>T("11")</f>
        <v>11</v>
      </c>
      <c r="E5026" t="str">
        <f t="shared" si="686"/>
        <v>빡선생</v>
      </c>
      <c r="H5026" t="str">
        <f t="shared" si="689"/>
        <v>스토리위즈</v>
      </c>
      <c r="I5026" t="str">
        <f t="shared" si="687"/>
        <v>회귀했는데 FFF급 부두술사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T5026" t="str">
        <f t="shared" si="688"/>
        <v>9791166069642</v>
      </c>
      <c r="AV5026" t="str">
        <f t="shared" si="685"/>
        <v>판타지 웹소설 &gt; 퓨전 판타지</v>
      </c>
    </row>
    <row r="5027" spans="1:48" x14ac:dyDescent="0.4">
      <c r="A5027">
        <v>2313015494</v>
      </c>
      <c r="B5027">
        <v>2313015505</v>
      </c>
      <c r="C5027" t="str">
        <f>T("회귀했는데 FFF급 부두술사 12화")</f>
        <v>회귀했는데 FFF급 부두술사 12화</v>
      </c>
      <c r="D5027" t="str">
        <f>T("12")</f>
        <v>12</v>
      </c>
      <c r="E5027" t="str">
        <f t="shared" si="686"/>
        <v>빡선생</v>
      </c>
      <c r="H5027" t="str">
        <f t="shared" si="689"/>
        <v>스토리위즈</v>
      </c>
      <c r="I5027" t="str">
        <f t="shared" si="687"/>
        <v>회귀했는데 FFF급 부두술사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T5027" t="str">
        <f t="shared" si="688"/>
        <v>9791166069642</v>
      </c>
      <c r="AV5027" t="str">
        <f t="shared" si="685"/>
        <v>판타지 웹소설 &gt; 퓨전 판타지</v>
      </c>
    </row>
    <row r="5028" spans="1:48" x14ac:dyDescent="0.4">
      <c r="A5028">
        <v>2313015494</v>
      </c>
      <c r="B5028">
        <v>2313015506</v>
      </c>
      <c r="C5028" t="str">
        <f>T("회귀했는데 FFF급 부두술사 13화")</f>
        <v>회귀했는데 FFF급 부두술사 13화</v>
      </c>
      <c r="D5028" t="str">
        <f>T("13")</f>
        <v>13</v>
      </c>
      <c r="E5028" t="str">
        <f t="shared" si="686"/>
        <v>빡선생</v>
      </c>
      <c r="H5028" t="str">
        <f t="shared" si="689"/>
        <v>스토리위즈</v>
      </c>
      <c r="I5028" t="str">
        <f t="shared" si="687"/>
        <v>회귀했는데 FFF급 부두술사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T5028" t="str">
        <f t="shared" si="688"/>
        <v>9791166069642</v>
      </c>
      <c r="AV5028" t="str">
        <f t="shared" si="685"/>
        <v>판타지 웹소설 &gt; 퓨전 판타지</v>
      </c>
    </row>
    <row r="5029" spans="1:48" x14ac:dyDescent="0.4">
      <c r="A5029">
        <v>2313015494</v>
      </c>
      <c r="B5029">
        <v>2313015507</v>
      </c>
      <c r="C5029" t="str">
        <f>T("회귀했는데 FFF급 부두술사 14화")</f>
        <v>회귀했는데 FFF급 부두술사 14화</v>
      </c>
      <c r="D5029" t="str">
        <f>T("14")</f>
        <v>14</v>
      </c>
      <c r="E5029" t="str">
        <f t="shared" si="686"/>
        <v>빡선생</v>
      </c>
      <c r="H5029" t="str">
        <f t="shared" si="689"/>
        <v>스토리위즈</v>
      </c>
      <c r="I5029" t="str">
        <f t="shared" si="687"/>
        <v>회귀했는데 FFF급 부두술사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T5029" t="str">
        <f t="shared" si="688"/>
        <v>9791166069642</v>
      </c>
      <c r="AV5029" t="str">
        <f t="shared" si="685"/>
        <v>판타지 웹소설 &gt; 퓨전 판타지</v>
      </c>
    </row>
    <row r="5030" spans="1:48" x14ac:dyDescent="0.4">
      <c r="A5030">
        <v>2313015494</v>
      </c>
      <c r="B5030">
        <v>2313015508</v>
      </c>
      <c r="C5030" t="str">
        <f>T("회귀했는데 FFF급 부두술사 15화")</f>
        <v>회귀했는데 FFF급 부두술사 15화</v>
      </c>
      <c r="D5030" t="str">
        <f>T("15")</f>
        <v>15</v>
      </c>
      <c r="E5030" t="str">
        <f t="shared" si="686"/>
        <v>빡선생</v>
      </c>
      <c r="H5030" t="str">
        <f t="shared" si="689"/>
        <v>스토리위즈</v>
      </c>
      <c r="I5030" t="str">
        <f t="shared" si="687"/>
        <v>회귀했는데 FFF급 부두술사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1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T5030" t="str">
        <f t="shared" si="688"/>
        <v>9791166069642</v>
      </c>
      <c r="AV5030" t="str">
        <f t="shared" si="685"/>
        <v>판타지 웹소설 &gt; 퓨전 판타지</v>
      </c>
    </row>
    <row r="5031" spans="1:48" x14ac:dyDescent="0.4">
      <c r="A5031">
        <v>2313015494</v>
      </c>
      <c r="B5031">
        <v>2313015509</v>
      </c>
      <c r="C5031" t="str">
        <f>T("회귀했는데 FFF급 부두술사 16화")</f>
        <v>회귀했는데 FFF급 부두술사 16화</v>
      </c>
      <c r="D5031" t="str">
        <f>T("16")</f>
        <v>16</v>
      </c>
      <c r="E5031" t="str">
        <f t="shared" si="686"/>
        <v>빡선생</v>
      </c>
      <c r="H5031" t="str">
        <f t="shared" si="689"/>
        <v>스토리위즈</v>
      </c>
      <c r="I5031" t="str">
        <f t="shared" si="687"/>
        <v>회귀했는데 FFF급 부두술사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T5031" t="str">
        <f t="shared" si="688"/>
        <v>9791166069642</v>
      </c>
      <c r="AV5031" t="str">
        <f t="shared" si="685"/>
        <v>판타지 웹소설 &gt; 퓨전 판타지</v>
      </c>
    </row>
    <row r="5032" spans="1:48" x14ac:dyDescent="0.4">
      <c r="A5032">
        <v>2313015749</v>
      </c>
      <c r="B5032">
        <v>2313015749</v>
      </c>
      <c r="C5032" t="str">
        <f>T("원코인 게이머 아포칼립스 1화")</f>
        <v>원코인 게이머 아포칼립스 1화</v>
      </c>
      <c r="D5032" t="str">
        <f>T("1")</f>
        <v>1</v>
      </c>
      <c r="E5032" t="str">
        <f t="shared" ref="E5032:E5056" si="690">T("이한애비")</f>
        <v>이한애비</v>
      </c>
      <c r="H5032" t="str">
        <f t="shared" si="689"/>
        <v>스토리위즈</v>
      </c>
      <c r="I5032" t="str">
        <f t="shared" ref="I5032:I5056" si="691">T("원코인 게이머 아포칼립스")</f>
        <v>원코인 게이머 아포칼립스</v>
      </c>
      <c r="J5032">
        <v>0</v>
      </c>
      <c r="K5032">
        <v>0</v>
      </c>
      <c r="L5032">
        <v>0</v>
      </c>
      <c r="M5032">
        <v>4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4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T5032" t="str">
        <f t="shared" ref="AT5032:AT5056" si="692">T("9791137602779")</f>
        <v>9791137602779</v>
      </c>
      <c r="AV5032" t="str">
        <f t="shared" ref="AV5032:AV5056" si="693">T("판타지 웹소설 &gt; 현대 판타지")</f>
        <v>판타지 웹소설 &gt; 현대 판타지</v>
      </c>
    </row>
    <row r="5033" spans="1:48" x14ac:dyDescent="0.4">
      <c r="A5033">
        <v>2313015749</v>
      </c>
      <c r="B5033">
        <v>2313015750</v>
      </c>
      <c r="C5033" t="str">
        <f>T("원코인 게이머 아포칼립스 2화")</f>
        <v>원코인 게이머 아포칼립스 2화</v>
      </c>
      <c r="D5033" t="str">
        <f>T("2")</f>
        <v>2</v>
      </c>
      <c r="E5033" t="str">
        <f t="shared" si="690"/>
        <v>이한애비</v>
      </c>
      <c r="H5033" t="str">
        <f t="shared" si="689"/>
        <v>스토리위즈</v>
      </c>
      <c r="I5033" t="str">
        <f t="shared" si="691"/>
        <v>원코인 게이머 아포칼립스</v>
      </c>
      <c r="J5033">
        <v>0</v>
      </c>
      <c r="K5033">
        <v>0</v>
      </c>
      <c r="L5033">
        <v>0</v>
      </c>
      <c r="M5033">
        <v>3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3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T5033" t="str">
        <f t="shared" si="692"/>
        <v>9791137602779</v>
      </c>
      <c r="AV5033" t="str">
        <f t="shared" si="693"/>
        <v>판타지 웹소설 &gt; 현대 판타지</v>
      </c>
    </row>
    <row r="5034" spans="1:48" x14ac:dyDescent="0.4">
      <c r="A5034">
        <v>2313015749</v>
      </c>
      <c r="B5034">
        <v>2313015751</v>
      </c>
      <c r="C5034" t="str">
        <f>T("원코인 게이머 아포칼립스 3화")</f>
        <v>원코인 게이머 아포칼립스 3화</v>
      </c>
      <c r="D5034" t="str">
        <f>T("3")</f>
        <v>3</v>
      </c>
      <c r="E5034" t="str">
        <f t="shared" si="690"/>
        <v>이한애비</v>
      </c>
      <c r="H5034" t="str">
        <f t="shared" si="689"/>
        <v>스토리위즈</v>
      </c>
      <c r="I5034" t="str">
        <f t="shared" si="691"/>
        <v>원코인 게이머 아포칼립스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2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T5034" t="str">
        <f t="shared" si="692"/>
        <v>9791137602779</v>
      </c>
      <c r="AV5034" t="str">
        <f t="shared" si="693"/>
        <v>판타지 웹소설 &gt; 현대 판타지</v>
      </c>
    </row>
    <row r="5035" spans="1:48" x14ac:dyDescent="0.4">
      <c r="A5035">
        <v>2313015749</v>
      </c>
      <c r="B5035">
        <v>2313015752</v>
      </c>
      <c r="C5035" t="str">
        <f>T("원코인 게이머 아포칼립스 4화")</f>
        <v>원코인 게이머 아포칼립스 4화</v>
      </c>
      <c r="D5035" t="str">
        <f>T("4")</f>
        <v>4</v>
      </c>
      <c r="E5035" t="str">
        <f t="shared" si="690"/>
        <v>이한애비</v>
      </c>
      <c r="H5035" t="str">
        <f t="shared" si="689"/>
        <v>스토리위즈</v>
      </c>
      <c r="I5035" t="str">
        <f t="shared" si="691"/>
        <v>원코인 게이머 아포칼립스</v>
      </c>
      <c r="J5035">
        <v>0</v>
      </c>
      <c r="K5035">
        <v>0</v>
      </c>
      <c r="L5035">
        <v>0</v>
      </c>
      <c r="M5035">
        <v>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2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T5035" t="str">
        <f t="shared" si="692"/>
        <v>9791137602779</v>
      </c>
      <c r="AV5035" t="str">
        <f t="shared" si="693"/>
        <v>판타지 웹소설 &gt; 현대 판타지</v>
      </c>
    </row>
    <row r="5036" spans="1:48" x14ac:dyDescent="0.4">
      <c r="A5036">
        <v>2313015749</v>
      </c>
      <c r="B5036">
        <v>2313015753</v>
      </c>
      <c r="C5036" t="str">
        <f>T("원코인 게이머 아포칼립스 5화")</f>
        <v>원코인 게이머 아포칼립스 5화</v>
      </c>
      <c r="D5036" t="str">
        <f>T("5")</f>
        <v>5</v>
      </c>
      <c r="E5036" t="str">
        <f t="shared" si="690"/>
        <v>이한애비</v>
      </c>
      <c r="H5036" t="str">
        <f t="shared" si="689"/>
        <v>스토리위즈</v>
      </c>
      <c r="I5036" t="str">
        <f t="shared" si="691"/>
        <v>원코인 게이머 아포칼립스</v>
      </c>
      <c r="J5036">
        <v>0</v>
      </c>
      <c r="K5036">
        <v>0</v>
      </c>
      <c r="L5036">
        <v>0</v>
      </c>
      <c r="M5036">
        <v>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2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T5036" t="str">
        <f t="shared" si="692"/>
        <v>9791137602779</v>
      </c>
      <c r="AV5036" t="str">
        <f t="shared" si="693"/>
        <v>판타지 웹소설 &gt; 현대 판타지</v>
      </c>
    </row>
    <row r="5037" spans="1:48" x14ac:dyDescent="0.4">
      <c r="A5037">
        <v>2313015749</v>
      </c>
      <c r="B5037">
        <v>2313015754</v>
      </c>
      <c r="C5037" t="str">
        <f>T("원코인 게이머 아포칼립스 6화")</f>
        <v>원코인 게이머 아포칼립스 6화</v>
      </c>
      <c r="D5037" t="str">
        <f>T("6")</f>
        <v>6</v>
      </c>
      <c r="E5037" t="str">
        <f t="shared" si="690"/>
        <v>이한애비</v>
      </c>
      <c r="H5037" t="str">
        <f t="shared" si="689"/>
        <v>스토리위즈</v>
      </c>
      <c r="I5037" t="str">
        <f t="shared" si="691"/>
        <v>원코인 게이머 아포칼립스</v>
      </c>
      <c r="J5037">
        <v>0</v>
      </c>
      <c r="K5037">
        <v>0</v>
      </c>
      <c r="L5037">
        <v>0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2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T5037" t="str">
        <f t="shared" si="692"/>
        <v>9791137602779</v>
      </c>
      <c r="AV5037" t="str">
        <f t="shared" si="693"/>
        <v>판타지 웹소설 &gt; 현대 판타지</v>
      </c>
    </row>
    <row r="5038" spans="1:48" x14ac:dyDescent="0.4">
      <c r="A5038">
        <v>2313015749</v>
      </c>
      <c r="B5038">
        <v>2313015755</v>
      </c>
      <c r="C5038" t="str">
        <f>T("원코인 게이머 아포칼립스 7화")</f>
        <v>원코인 게이머 아포칼립스 7화</v>
      </c>
      <c r="D5038" t="str">
        <f>T("7")</f>
        <v>7</v>
      </c>
      <c r="E5038" t="str">
        <f t="shared" si="690"/>
        <v>이한애비</v>
      </c>
      <c r="H5038" t="str">
        <f t="shared" si="689"/>
        <v>스토리위즈</v>
      </c>
      <c r="I5038" t="str">
        <f t="shared" si="691"/>
        <v>원코인 게이머 아포칼립스</v>
      </c>
      <c r="J5038">
        <v>0</v>
      </c>
      <c r="K5038">
        <v>0</v>
      </c>
      <c r="L5038">
        <v>0</v>
      </c>
      <c r="M5038">
        <v>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2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T5038" t="str">
        <f t="shared" si="692"/>
        <v>9791137602779</v>
      </c>
      <c r="AV5038" t="str">
        <f t="shared" si="693"/>
        <v>판타지 웹소설 &gt; 현대 판타지</v>
      </c>
    </row>
    <row r="5039" spans="1:48" x14ac:dyDescent="0.4">
      <c r="A5039">
        <v>2313015749</v>
      </c>
      <c r="B5039">
        <v>2313015756</v>
      </c>
      <c r="C5039" t="str">
        <f>T("원코인 게이머 아포칼립스 8화")</f>
        <v>원코인 게이머 아포칼립스 8화</v>
      </c>
      <c r="D5039" t="str">
        <f>T("8")</f>
        <v>8</v>
      </c>
      <c r="E5039" t="str">
        <f t="shared" si="690"/>
        <v>이한애비</v>
      </c>
      <c r="H5039" t="str">
        <f t="shared" si="689"/>
        <v>스토리위즈</v>
      </c>
      <c r="I5039" t="str">
        <f t="shared" si="691"/>
        <v>원코인 게이머 아포칼립스</v>
      </c>
      <c r="J5039">
        <v>0</v>
      </c>
      <c r="K5039">
        <v>0</v>
      </c>
      <c r="L5039">
        <v>0</v>
      </c>
      <c r="M5039">
        <v>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2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T5039" t="str">
        <f t="shared" si="692"/>
        <v>9791137602779</v>
      </c>
      <c r="AV5039" t="str">
        <f t="shared" si="693"/>
        <v>판타지 웹소설 &gt; 현대 판타지</v>
      </c>
    </row>
    <row r="5040" spans="1:48" x14ac:dyDescent="0.4">
      <c r="A5040">
        <v>2313015749</v>
      </c>
      <c r="B5040">
        <v>2313015757</v>
      </c>
      <c r="C5040" t="str">
        <f>T("원코인 게이머 아포칼립스 9화")</f>
        <v>원코인 게이머 아포칼립스 9화</v>
      </c>
      <c r="D5040" t="str">
        <f>T("9")</f>
        <v>9</v>
      </c>
      <c r="E5040" t="str">
        <f t="shared" si="690"/>
        <v>이한애비</v>
      </c>
      <c r="H5040" t="str">
        <f t="shared" si="689"/>
        <v>스토리위즈</v>
      </c>
      <c r="I5040" t="str">
        <f t="shared" si="691"/>
        <v>원코인 게이머 아포칼립스</v>
      </c>
      <c r="J5040">
        <v>0</v>
      </c>
      <c r="K5040">
        <v>0</v>
      </c>
      <c r="L5040">
        <v>0</v>
      </c>
      <c r="M5040">
        <v>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2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T5040" t="str">
        <f t="shared" si="692"/>
        <v>9791137602779</v>
      </c>
      <c r="AV5040" t="str">
        <f t="shared" si="693"/>
        <v>판타지 웹소설 &gt; 현대 판타지</v>
      </c>
    </row>
    <row r="5041" spans="1:48" x14ac:dyDescent="0.4">
      <c r="A5041">
        <v>2313015749</v>
      </c>
      <c r="B5041">
        <v>2313015758</v>
      </c>
      <c r="C5041" t="str">
        <f>T("원코인 게이머 아포칼립스 10화")</f>
        <v>원코인 게이머 아포칼립스 10화</v>
      </c>
      <c r="D5041" t="str">
        <f>T("10")</f>
        <v>10</v>
      </c>
      <c r="E5041" t="str">
        <f t="shared" si="690"/>
        <v>이한애비</v>
      </c>
      <c r="H5041" t="str">
        <f t="shared" si="689"/>
        <v>스토리위즈</v>
      </c>
      <c r="I5041" t="str">
        <f t="shared" si="691"/>
        <v>원코인 게이머 아포칼립스</v>
      </c>
      <c r="J5041">
        <v>0</v>
      </c>
      <c r="K5041">
        <v>0</v>
      </c>
      <c r="L5041">
        <v>0</v>
      </c>
      <c r="M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2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T5041" t="str">
        <f t="shared" si="692"/>
        <v>9791137602779</v>
      </c>
      <c r="AV5041" t="str">
        <f t="shared" si="693"/>
        <v>판타지 웹소설 &gt; 현대 판타지</v>
      </c>
    </row>
    <row r="5042" spans="1:48" x14ac:dyDescent="0.4">
      <c r="A5042">
        <v>2313015749</v>
      </c>
      <c r="B5042">
        <v>2313015759</v>
      </c>
      <c r="C5042" t="str">
        <f>T("원코인 게이머 아포칼립스 11화")</f>
        <v>원코인 게이머 아포칼립스 11화</v>
      </c>
      <c r="D5042" t="str">
        <f>T("11")</f>
        <v>11</v>
      </c>
      <c r="E5042" t="str">
        <f t="shared" si="690"/>
        <v>이한애비</v>
      </c>
      <c r="H5042" t="str">
        <f t="shared" si="689"/>
        <v>스토리위즈</v>
      </c>
      <c r="I5042" t="str">
        <f t="shared" si="691"/>
        <v>원코인 게이머 아포칼립스</v>
      </c>
      <c r="J5042">
        <v>0</v>
      </c>
      <c r="K5042">
        <v>0</v>
      </c>
      <c r="L5042">
        <v>0</v>
      </c>
      <c r="M5042">
        <v>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2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T5042" t="str">
        <f t="shared" si="692"/>
        <v>9791137602779</v>
      </c>
      <c r="AV5042" t="str">
        <f t="shared" si="693"/>
        <v>판타지 웹소설 &gt; 현대 판타지</v>
      </c>
    </row>
    <row r="5043" spans="1:48" x14ac:dyDescent="0.4">
      <c r="A5043">
        <v>2313015749</v>
      </c>
      <c r="B5043">
        <v>2313015760</v>
      </c>
      <c r="C5043" t="str">
        <f>T("원코인 게이머 아포칼립스 12화")</f>
        <v>원코인 게이머 아포칼립스 12화</v>
      </c>
      <c r="D5043" t="str">
        <f>T("12")</f>
        <v>12</v>
      </c>
      <c r="E5043" t="str">
        <f t="shared" si="690"/>
        <v>이한애비</v>
      </c>
      <c r="H5043" t="str">
        <f t="shared" si="689"/>
        <v>스토리위즈</v>
      </c>
      <c r="I5043" t="str">
        <f t="shared" si="691"/>
        <v>원코인 게이머 아포칼립스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2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T5043" t="str">
        <f t="shared" si="692"/>
        <v>9791137602779</v>
      </c>
      <c r="AV5043" t="str">
        <f t="shared" si="693"/>
        <v>판타지 웹소설 &gt; 현대 판타지</v>
      </c>
    </row>
    <row r="5044" spans="1:48" x14ac:dyDescent="0.4">
      <c r="A5044">
        <v>2313015749</v>
      </c>
      <c r="B5044">
        <v>2313015761</v>
      </c>
      <c r="C5044" t="str">
        <f>T("원코인 게이머 아포칼립스 13화")</f>
        <v>원코인 게이머 아포칼립스 13화</v>
      </c>
      <c r="D5044" t="str">
        <f>T("13")</f>
        <v>13</v>
      </c>
      <c r="E5044" t="str">
        <f t="shared" si="690"/>
        <v>이한애비</v>
      </c>
      <c r="H5044" t="str">
        <f t="shared" si="689"/>
        <v>스토리위즈</v>
      </c>
      <c r="I5044" t="str">
        <f t="shared" si="691"/>
        <v>원코인 게이머 아포칼립스</v>
      </c>
      <c r="J5044">
        <v>0</v>
      </c>
      <c r="K5044">
        <v>0</v>
      </c>
      <c r="L5044">
        <v>0</v>
      </c>
      <c r="M5044">
        <v>2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2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T5044" t="str">
        <f t="shared" si="692"/>
        <v>9791137602779</v>
      </c>
      <c r="AV5044" t="str">
        <f t="shared" si="693"/>
        <v>판타지 웹소설 &gt; 현대 판타지</v>
      </c>
    </row>
    <row r="5045" spans="1:48" x14ac:dyDescent="0.4">
      <c r="A5045">
        <v>2313015749</v>
      </c>
      <c r="B5045">
        <v>2313015762</v>
      </c>
      <c r="C5045" t="str">
        <f>T("원코인 게이머 아포칼립스 14화")</f>
        <v>원코인 게이머 아포칼립스 14화</v>
      </c>
      <c r="D5045" t="str">
        <f>T("14")</f>
        <v>14</v>
      </c>
      <c r="E5045" t="str">
        <f t="shared" si="690"/>
        <v>이한애비</v>
      </c>
      <c r="H5045" t="str">
        <f t="shared" si="689"/>
        <v>스토리위즈</v>
      </c>
      <c r="I5045" t="str">
        <f t="shared" si="691"/>
        <v>원코인 게이머 아포칼립스</v>
      </c>
      <c r="J5045">
        <v>0</v>
      </c>
      <c r="K5045">
        <v>0</v>
      </c>
      <c r="L5045">
        <v>0</v>
      </c>
      <c r="M5045">
        <v>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2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T5045" t="str">
        <f t="shared" si="692"/>
        <v>9791137602779</v>
      </c>
      <c r="AV5045" t="str">
        <f t="shared" si="693"/>
        <v>판타지 웹소설 &gt; 현대 판타지</v>
      </c>
    </row>
    <row r="5046" spans="1:48" x14ac:dyDescent="0.4">
      <c r="A5046">
        <v>2313015749</v>
      </c>
      <c r="B5046">
        <v>2313015763</v>
      </c>
      <c r="C5046" t="str">
        <f>T("원코인 게이머 아포칼립스 15화")</f>
        <v>원코인 게이머 아포칼립스 15화</v>
      </c>
      <c r="D5046" t="str">
        <f>T("15")</f>
        <v>15</v>
      </c>
      <c r="E5046" t="str">
        <f t="shared" si="690"/>
        <v>이한애비</v>
      </c>
      <c r="H5046" t="str">
        <f t="shared" si="689"/>
        <v>스토리위즈</v>
      </c>
      <c r="I5046" t="str">
        <f t="shared" si="691"/>
        <v>원코인 게이머 아포칼립스</v>
      </c>
      <c r="J5046">
        <v>0</v>
      </c>
      <c r="K5046">
        <v>0</v>
      </c>
      <c r="L5046">
        <v>0</v>
      </c>
      <c r="M5046">
        <v>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2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T5046" t="str">
        <f t="shared" si="692"/>
        <v>9791137602779</v>
      </c>
      <c r="AV5046" t="str">
        <f t="shared" si="693"/>
        <v>판타지 웹소설 &gt; 현대 판타지</v>
      </c>
    </row>
    <row r="5047" spans="1:48" x14ac:dyDescent="0.4">
      <c r="A5047">
        <v>2313015749</v>
      </c>
      <c r="B5047">
        <v>2313015764</v>
      </c>
      <c r="C5047" t="str">
        <f>T("원코인 게이머 아포칼립스 16화")</f>
        <v>원코인 게이머 아포칼립스 16화</v>
      </c>
      <c r="D5047" t="str">
        <f>T("16")</f>
        <v>16</v>
      </c>
      <c r="E5047" t="str">
        <f t="shared" si="690"/>
        <v>이한애비</v>
      </c>
      <c r="H5047" t="str">
        <f t="shared" si="689"/>
        <v>스토리위즈</v>
      </c>
      <c r="I5047" t="str">
        <f t="shared" si="691"/>
        <v>원코인 게이머 아포칼립스</v>
      </c>
      <c r="J5047">
        <v>0</v>
      </c>
      <c r="K5047">
        <v>0</v>
      </c>
      <c r="L5047">
        <v>0</v>
      </c>
      <c r="M5047">
        <v>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2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T5047" t="str">
        <f t="shared" si="692"/>
        <v>9791137602779</v>
      </c>
      <c r="AV5047" t="str">
        <f t="shared" si="693"/>
        <v>판타지 웹소설 &gt; 현대 판타지</v>
      </c>
    </row>
    <row r="5048" spans="1:48" x14ac:dyDescent="0.4">
      <c r="A5048">
        <v>2313015749</v>
      </c>
      <c r="B5048">
        <v>2313015765</v>
      </c>
      <c r="C5048" t="str">
        <f>T("원코인 게이머 아포칼립스 17화")</f>
        <v>원코인 게이머 아포칼립스 17화</v>
      </c>
      <c r="D5048" t="str">
        <f>T("17")</f>
        <v>17</v>
      </c>
      <c r="E5048" t="str">
        <f t="shared" si="690"/>
        <v>이한애비</v>
      </c>
      <c r="H5048" t="str">
        <f t="shared" si="689"/>
        <v>스토리위즈</v>
      </c>
      <c r="I5048" t="str">
        <f t="shared" si="691"/>
        <v>원코인 게이머 아포칼립스</v>
      </c>
      <c r="J5048">
        <v>0</v>
      </c>
      <c r="K5048">
        <v>0</v>
      </c>
      <c r="L5048">
        <v>0</v>
      </c>
      <c r="M5048">
        <v>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2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T5048" t="str">
        <f t="shared" si="692"/>
        <v>9791137602779</v>
      </c>
      <c r="AV5048" t="str">
        <f t="shared" si="693"/>
        <v>판타지 웹소설 &gt; 현대 판타지</v>
      </c>
    </row>
    <row r="5049" spans="1:48" x14ac:dyDescent="0.4">
      <c r="A5049">
        <v>2313015749</v>
      </c>
      <c r="B5049">
        <v>2313015766</v>
      </c>
      <c r="C5049" t="str">
        <f>T("원코인 게이머 아포칼립스 18화")</f>
        <v>원코인 게이머 아포칼립스 18화</v>
      </c>
      <c r="D5049" t="str">
        <f>T("18")</f>
        <v>18</v>
      </c>
      <c r="E5049" t="str">
        <f t="shared" si="690"/>
        <v>이한애비</v>
      </c>
      <c r="H5049" t="str">
        <f t="shared" si="689"/>
        <v>스토리위즈</v>
      </c>
      <c r="I5049" t="str">
        <f t="shared" si="691"/>
        <v>원코인 게이머 아포칼립스</v>
      </c>
      <c r="J5049">
        <v>0</v>
      </c>
      <c r="K5049">
        <v>0</v>
      </c>
      <c r="L5049">
        <v>0</v>
      </c>
      <c r="M5049">
        <v>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2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T5049" t="str">
        <f t="shared" si="692"/>
        <v>9791137602779</v>
      </c>
      <c r="AV5049" t="str">
        <f t="shared" si="693"/>
        <v>판타지 웹소설 &gt; 현대 판타지</v>
      </c>
    </row>
    <row r="5050" spans="1:48" x14ac:dyDescent="0.4">
      <c r="A5050">
        <v>2313015749</v>
      </c>
      <c r="B5050">
        <v>2313015767</v>
      </c>
      <c r="C5050" t="str">
        <f>T("원코인 게이머 아포칼립스 19화")</f>
        <v>원코인 게이머 아포칼립스 19화</v>
      </c>
      <c r="D5050" t="str">
        <f>T("19")</f>
        <v>19</v>
      </c>
      <c r="E5050" t="str">
        <f t="shared" si="690"/>
        <v>이한애비</v>
      </c>
      <c r="H5050" t="str">
        <f t="shared" si="689"/>
        <v>스토리위즈</v>
      </c>
      <c r="I5050" t="str">
        <f t="shared" si="691"/>
        <v>원코인 게이머 아포칼립스</v>
      </c>
      <c r="J5050">
        <v>0</v>
      </c>
      <c r="K5050">
        <v>0</v>
      </c>
      <c r="L5050">
        <v>0</v>
      </c>
      <c r="M5050">
        <v>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2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T5050" t="str">
        <f t="shared" si="692"/>
        <v>9791137602779</v>
      </c>
      <c r="AV5050" t="str">
        <f t="shared" si="693"/>
        <v>판타지 웹소설 &gt; 현대 판타지</v>
      </c>
    </row>
    <row r="5051" spans="1:48" x14ac:dyDescent="0.4">
      <c r="A5051">
        <v>2313015749</v>
      </c>
      <c r="B5051">
        <v>2313015768</v>
      </c>
      <c r="C5051" t="str">
        <f>T("원코인 게이머 아포칼립스 20화")</f>
        <v>원코인 게이머 아포칼립스 20화</v>
      </c>
      <c r="D5051" t="str">
        <f>T("20")</f>
        <v>20</v>
      </c>
      <c r="E5051" t="str">
        <f t="shared" si="690"/>
        <v>이한애비</v>
      </c>
      <c r="H5051" t="str">
        <f t="shared" si="689"/>
        <v>스토리위즈</v>
      </c>
      <c r="I5051" t="str">
        <f t="shared" si="691"/>
        <v>원코인 게이머 아포칼립스</v>
      </c>
      <c r="J5051">
        <v>0</v>
      </c>
      <c r="K5051">
        <v>0</v>
      </c>
      <c r="L5051">
        <v>0</v>
      </c>
      <c r="M5051">
        <v>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2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T5051" t="str">
        <f t="shared" si="692"/>
        <v>9791137602779</v>
      </c>
      <c r="AV5051" t="str">
        <f t="shared" si="693"/>
        <v>판타지 웹소설 &gt; 현대 판타지</v>
      </c>
    </row>
    <row r="5052" spans="1:48" x14ac:dyDescent="0.4">
      <c r="A5052">
        <v>2313015749</v>
      </c>
      <c r="B5052">
        <v>2313015769</v>
      </c>
      <c r="C5052" t="str">
        <f>T("원코인 게이머 아포칼립스 21화")</f>
        <v>원코인 게이머 아포칼립스 21화</v>
      </c>
      <c r="D5052" t="str">
        <f>T("21")</f>
        <v>21</v>
      </c>
      <c r="E5052" t="str">
        <f t="shared" si="690"/>
        <v>이한애비</v>
      </c>
      <c r="H5052" t="str">
        <f t="shared" si="689"/>
        <v>스토리위즈</v>
      </c>
      <c r="I5052" t="str">
        <f t="shared" si="691"/>
        <v>원코인 게이머 아포칼립스</v>
      </c>
      <c r="J5052">
        <v>0</v>
      </c>
      <c r="K5052">
        <v>0</v>
      </c>
      <c r="L5052">
        <v>0</v>
      </c>
      <c r="M5052">
        <v>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2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T5052" t="str">
        <f t="shared" si="692"/>
        <v>9791137602779</v>
      </c>
      <c r="AV5052" t="str">
        <f t="shared" si="693"/>
        <v>판타지 웹소설 &gt; 현대 판타지</v>
      </c>
    </row>
    <row r="5053" spans="1:48" x14ac:dyDescent="0.4">
      <c r="A5053">
        <v>2313015749</v>
      </c>
      <c r="B5053">
        <v>2313015770</v>
      </c>
      <c r="C5053" t="str">
        <f>T("원코인 게이머 아포칼립스 22화")</f>
        <v>원코인 게이머 아포칼립스 22화</v>
      </c>
      <c r="D5053" t="str">
        <f>T("22")</f>
        <v>22</v>
      </c>
      <c r="E5053" t="str">
        <f t="shared" si="690"/>
        <v>이한애비</v>
      </c>
      <c r="H5053" t="str">
        <f t="shared" si="689"/>
        <v>스토리위즈</v>
      </c>
      <c r="I5053" t="str">
        <f t="shared" si="691"/>
        <v>원코인 게이머 아포칼립스</v>
      </c>
      <c r="J5053">
        <v>0</v>
      </c>
      <c r="K5053">
        <v>0</v>
      </c>
      <c r="L5053">
        <v>0</v>
      </c>
      <c r="M5053">
        <v>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2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T5053" t="str">
        <f t="shared" si="692"/>
        <v>9791137602779</v>
      </c>
      <c r="AV5053" t="str">
        <f t="shared" si="693"/>
        <v>판타지 웹소설 &gt; 현대 판타지</v>
      </c>
    </row>
    <row r="5054" spans="1:48" x14ac:dyDescent="0.4">
      <c r="A5054">
        <v>2313015749</v>
      </c>
      <c r="B5054">
        <v>2313015771</v>
      </c>
      <c r="C5054" t="str">
        <f>T("원코인 게이머 아포칼립스 23화")</f>
        <v>원코인 게이머 아포칼립스 23화</v>
      </c>
      <c r="D5054" t="str">
        <f>T("23")</f>
        <v>23</v>
      </c>
      <c r="E5054" t="str">
        <f t="shared" si="690"/>
        <v>이한애비</v>
      </c>
      <c r="H5054" t="str">
        <f t="shared" si="689"/>
        <v>스토리위즈</v>
      </c>
      <c r="I5054" t="str">
        <f t="shared" si="691"/>
        <v>원코인 게이머 아포칼립스</v>
      </c>
      <c r="J5054">
        <v>0</v>
      </c>
      <c r="K5054">
        <v>0</v>
      </c>
      <c r="L5054">
        <v>0</v>
      </c>
      <c r="M5054">
        <v>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2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T5054" t="str">
        <f t="shared" si="692"/>
        <v>9791137602779</v>
      </c>
      <c r="AV5054" t="str">
        <f t="shared" si="693"/>
        <v>판타지 웹소설 &gt; 현대 판타지</v>
      </c>
    </row>
    <row r="5055" spans="1:48" x14ac:dyDescent="0.4">
      <c r="A5055">
        <v>2313015749</v>
      </c>
      <c r="B5055">
        <v>2313015772</v>
      </c>
      <c r="C5055" t="str">
        <f>T("원코인 게이머 아포칼립스 24화")</f>
        <v>원코인 게이머 아포칼립스 24화</v>
      </c>
      <c r="D5055" t="str">
        <f>T("24")</f>
        <v>24</v>
      </c>
      <c r="E5055" t="str">
        <f t="shared" si="690"/>
        <v>이한애비</v>
      </c>
      <c r="H5055" t="str">
        <f t="shared" si="689"/>
        <v>스토리위즈</v>
      </c>
      <c r="I5055" t="str">
        <f t="shared" si="691"/>
        <v>원코인 게이머 아포칼립스</v>
      </c>
      <c r="J5055">
        <v>0</v>
      </c>
      <c r="K5055">
        <v>0</v>
      </c>
      <c r="L5055">
        <v>0</v>
      </c>
      <c r="M5055">
        <v>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2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T5055" t="str">
        <f t="shared" si="692"/>
        <v>9791137602779</v>
      </c>
      <c r="AV5055" t="str">
        <f t="shared" si="693"/>
        <v>판타지 웹소설 &gt; 현대 판타지</v>
      </c>
    </row>
    <row r="5056" spans="1:48" x14ac:dyDescent="0.4">
      <c r="A5056">
        <v>2313015749</v>
      </c>
      <c r="B5056">
        <v>2313015773</v>
      </c>
      <c r="C5056" t="str">
        <f>T("원코인 게이머 아포칼립스 25화")</f>
        <v>원코인 게이머 아포칼립스 25화</v>
      </c>
      <c r="D5056" t="str">
        <f>T("25")</f>
        <v>25</v>
      </c>
      <c r="E5056" t="str">
        <f t="shared" si="690"/>
        <v>이한애비</v>
      </c>
      <c r="H5056" t="str">
        <f t="shared" si="689"/>
        <v>스토리위즈</v>
      </c>
      <c r="I5056" t="str">
        <f t="shared" si="691"/>
        <v>원코인 게이머 아포칼립스</v>
      </c>
      <c r="J5056">
        <v>0</v>
      </c>
      <c r="K5056">
        <v>0</v>
      </c>
      <c r="L5056">
        <v>0</v>
      </c>
      <c r="M5056">
        <v>3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3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T5056" t="str">
        <f t="shared" si="692"/>
        <v>9791137602779</v>
      </c>
      <c r="AV5056" t="str">
        <f t="shared" si="693"/>
        <v>판타지 웹소설 &gt; 현대 판타지</v>
      </c>
    </row>
    <row r="5057" spans="1:48" x14ac:dyDescent="0.4">
      <c r="A5057">
        <v>2313015972</v>
      </c>
      <c r="B5057">
        <v>2313015972</v>
      </c>
      <c r="C5057" t="str">
        <f>T("[e북]망작 리메이커 1권")</f>
        <v>[e북]망작 리메이커 1권</v>
      </c>
      <c r="D5057" t="str">
        <f>T("1")</f>
        <v>1</v>
      </c>
      <c r="E5057" t="str">
        <f>T("덕킹")</f>
        <v>덕킹</v>
      </c>
      <c r="H5057" t="str">
        <f t="shared" si="689"/>
        <v>스토리위즈</v>
      </c>
      <c r="I5057" t="str">
        <f>T("[e북]망작 리메이커")</f>
        <v>[e북]망작 리메이커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R5057" t="str">
        <f>T("0000000000000")</f>
        <v>0000000000000</v>
      </c>
      <c r="AT5057" t="str">
        <f>T("9791137603219")</f>
        <v>9791137603219</v>
      </c>
      <c r="AV5057" t="str">
        <f>T("판타지 e북 &gt; 퓨전 판타지")</f>
        <v>판타지 e북 &gt; 퓨전 판타지</v>
      </c>
    </row>
    <row r="5058" spans="1:48" x14ac:dyDescent="0.4">
      <c r="A5058">
        <v>2313015981</v>
      </c>
      <c r="B5058">
        <v>2313015981</v>
      </c>
      <c r="C5058" t="str">
        <f>T("[e북]낚싯대 하나로 세계최강 1권")</f>
        <v>[e북]낚싯대 하나로 세계최강 1권</v>
      </c>
      <c r="D5058" t="str">
        <f>T("1")</f>
        <v>1</v>
      </c>
      <c r="E5058" t="str">
        <f>T("단팥크림빵7")</f>
        <v>단팥크림빵7</v>
      </c>
      <c r="H5058" t="str">
        <f t="shared" si="689"/>
        <v>스토리위즈</v>
      </c>
      <c r="I5058" t="str">
        <f>T("[e북]낚싯대 하나로 세계최강")</f>
        <v>[e북]낚싯대 하나로 세계최강</v>
      </c>
      <c r="J5058">
        <v>0</v>
      </c>
      <c r="K5058">
        <v>0</v>
      </c>
      <c r="L5058">
        <v>0</v>
      </c>
      <c r="M5058">
        <v>6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6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T5058" t="str">
        <f>T("9791137603332")</f>
        <v>9791137603332</v>
      </c>
      <c r="AV5058" t="str">
        <f>T("판타지 e북 &gt; 퓨전 판타지")</f>
        <v>판타지 e북 &gt; 퓨전 판타지</v>
      </c>
    </row>
    <row r="5059" spans="1:48" x14ac:dyDescent="0.4">
      <c r="A5059">
        <v>2313015994</v>
      </c>
      <c r="B5059">
        <v>2313015994</v>
      </c>
      <c r="C5059" t="str">
        <f>T("[e북]신인류 좀비의 아포칼립스 1권")</f>
        <v>[e북]신인류 좀비의 아포칼립스 1권</v>
      </c>
      <c r="D5059" t="str">
        <f>T("1")</f>
        <v>1</v>
      </c>
      <c r="E5059" t="str">
        <f>T("모험왕선우")</f>
        <v>모험왕선우</v>
      </c>
      <c r="H5059" t="str">
        <f t="shared" si="689"/>
        <v>스토리위즈</v>
      </c>
      <c r="I5059" t="str">
        <f>T("[e북]신인류 좀비의 아포칼립스")</f>
        <v>[e북]신인류 좀비의 아포칼립스</v>
      </c>
      <c r="J5059">
        <v>0</v>
      </c>
      <c r="K5059">
        <v>0</v>
      </c>
      <c r="L5059">
        <v>0</v>
      </c>
      <c r="M5059">
        <v>5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5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T5059" t="str">
        <f>T("9791137603554")</f>
        <v>9791137603554</v>
      </c>
      <c r="AV5059" t="str">
        <f>T("판타지 e북 &gt; 현대 판타지")</f>
        <v>판타지 e북 &gt; 현대 판타지</v>
      </c>
    </row>
    <row r="5060" spans="1:48" x14ac:dyDescent="0.4">
      <c r="A5060">
        <v>2313016001</v>
      </c>
      <c r="B5060">
        <v>2313016001</v>
      </c>
      <c r="C5060" t="str">
        <f>T("칵테일로 레벨업 1화")</f>
        <v>칵테일로 레벨업 1화</v>
      </c>
      <c r="D5060" t="str">
        <f>T("1")</f>
        <v>1</v>
      </c>
      <c r="E5060" t="str">
        <f t="shared" ref="E5060:E5084" si="694">T("서강후")</f>
        <v>서강후</v>
      </c>
      <c r="H5060" t="str">
        <f t="shared" si="689"/>
        <v>스토리위즈</v>
      </c>
      <c r="I5060" t="str">
        <f t="shared" ref="I5060:I5084" si="695">T("칵테일로 레벨업")</f>
        <v>칵테일로 레벨업</v>
      </c>
      <c r="J5060">
        <v>0</v>
      </c>
      <c r="K5060">
        <v>0</v>
      </c>
      <c r="L5060">
        <v>0</v>
      </c>
      <c r="M5060">
        <v>7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7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R5060" t="str">
        <f t="shared" ref="AR5060:AR5086" si="696">T("0000000000000")</f>
        <v>0000000000000</v>
      </c>
      <c r="AT5060" t="str">
        <f t="shared" ref="AT5060:AT5084" si="697">T("9791137601284")</f>
        <v>9791137601284</v>
      </c>
      <c r="AV5060" t="str">
        <f t="shared" ref="AV5060:AV5084" si="698">T("판타지 웹소설 &gt; 현대 판타지")</f>
        <v>판타지 웹소설 &gt; 현대 판타지</v>
      </c>
    </row>
    <row r="5061" spans="1:48" x14ac:dyDescent="0.4">
      <c r="A5061">
        <v>2313016001</v>
      </c>
      <c r="B5061">
        <v>2313016002</v>
      </c>
      <c r="C5061" t="str">
        <f>T("칵테일로 레벨업 2화")</f>
        <v>칵테일로 레벨업 2화</v>
      </c>
      <c r="D5061" t="str">
        <f>T("2")</f>
        <v>2</v>
      </c>
      <c r="E5061" t="str">
        <f t="shared" si="694"/>
        <v>서강후</v>
      </c>
      <c r="H5061" t="str">
        <f t="shared" si="689"/>
        <v>스토리위즈</v>
      </c>
      <c r="I5061" t="str">
        <f t="shared" si="695"/>
        <v>칵테일로 레벨업</v>
      </c>
      <c r="J5061">
        <v>0</v>
      </c>
      <c r="K5061">
        <v>0</v>
      </c>
      <c r="L5061">
        <v>0</v>
      </c>
      <c r="M5061">
        <v>6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6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R5061" t="str">
        <f t="shared" si="696"/>
        <v>0000000000000</v>
      </c>
      <c r="AT5061" t="str">
        <f t="shared" si="697"/>
        <v>9791137601284</v>
      </c>
      <c r="AV5061" t="str">
        <f t="shared" si="698"/>
        <v>판타지 웹소설 &gt; 현대 판타지</v>
      </c>
    </row>
    <row r="5062" spans="1:48" x14ac:dyDescent="0.4">
      <c r="A5062">
        <v>2313016001</v>
      </c>
      <c r="B5062">
        <v>2313016003</v>
      </c>
      <c r="C5062" t="str">
        <f>T("칵테일로 레벨업 3화")</f>
        <v>칵테일로 레벨업 3화</v>
      </c>
      <c r="D5062" t="str">
        <f>T("3")</f>
        <v>3</v>
      </c>
      <c r="E5062" t="str">
        <f t="shared" si="694"/>
        <v>서강후</v>
      </c>
      <c r="H5062" t="str">
        <f t="shared" si="689"/>
        <v>스토리위즈</v>
      </c>
      <c r="I5062" t="str">
        <f t="shared" si="695"/>
        <v>칵테일로 레벨업</v>
      </c>
      <c r="J5062">
        <v>0</v>
      </c>
      <c r="K5062">
        <v>0</v>
      </c>
      <c r="L5062">
        <v>0</v>
      </c>
      <c r="M5062">
        <v>6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6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R5062" t="str">
        <f t="shared" si="696"/>
        <v>0000000000000</v>
      </c>
      <c r="AT5062" t="str">
        <f t="shared" si="697"/>
        <v>9791137601284</v>
      </c>
      <c r="AV5062" t="str">
        <f t="shared" si="698"/>
        <v>판타지 웹소설 &gt; 현대 판타지</v>
      </c>
    </row>
    <row r="5063" spans="1:48" x14ac:dyDescent="0.4">
      <c r="A5063">
        <v>2313016001</v>
      </c>
      <c r="B5063">
        <v>2313016004</v>
      </c>
      <c r="C5063" t="str">
        <f>T("칵테일로 레벨업 4화")</f>
        <v>칵테일로 레벨업 4화</v>
      </c>
      <c r="D5063" t="str">
        <f>T("4")</f>
        <v>4</v>
      </c>
      <c r="E5063" t="str">
        <f t="shared" si="694"/>
        <v>서강후</v>
      </c>
      <c r="H5063" t="str">
        <f t="shared" si="689"/>
        <v>스토리위즈</v>
      </c>
      <c r="I5063" t="str">
        <f t="shared" si="695"/>
        <v>칵테일로 레벨업</v>
      </c>
      <c r="J5063">
        <v>0</v>
      </c>
      <c r="K5063">
        <v>0</v>
      </c>
      <c r="L5063">
        <v>0</v>
      </c>
      <c r="M5063">
        <v>6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6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R5063" t="str">
        <f t="shared" si="696"/>
        <v>0000000000000</v>
      </c>
      <c r="AT5063" t="str">
        <f t="shared" si="697"/>
        <v>9791137601284</v>
      </c>
      <c r="AV5063" t="str">
        <f t="shared" si="698"/>
        <v>판타지 웹소설 &gt; 현대 판타지</v>
      </c>
    </row>
    <row r="5064" spans="1:48" x14ac:dyDescent="0.4">
      <c r="A5064">
        <v>2313016001</v>
      </c>
      <c r="B5064">
        <v>2313016005</v>
      </c>
      <c r="C5064" t="str">
        <f>T("칵테일로 레벨업 5화")</f>
        <v>칵테일로 레벨업 5화</v>
      </c>
      <c r="D5064" t="str">
        <f>T("5")</f>
        <v>5</v>
      </c>
      <c r="E5064" t="str">
        <f t="shared" si="694"/>
        <v>서강후</v>
      </c>
      <c r="H5064" t="str">
        <f t="shared" si="689"/>
        <v>스토리위즈</v>
      </c>
      <c r="I5064" t="str">
        <f t="shared" si="695"/>
        <v>칵테일로 레벨업</v>
      </c>
      <c r="J5064">
        <v>0</v>
      </c>
      <c r="K5064">
        <v>0</v>
      </c>
      <c r="L5064">
        <v>0</v>
      </c>
      <c r="M5064">
        <v>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6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R5064" t="str">
        <f t="shared" si="696"/>
        <v>0000000000000</v>
      </c>
      <c r="AT5064" t="str">
        <f t="shared" si="697"/>
        <v>9791137601284</v>
      </c>
      <c r="AV5064" t="str">
        <f t="shared" si="698"/>
        <v>판타지 웹소설 &gt; 현대 판타지</v>
      </c>
    </row>
    <row r="5065" spans="1:48" x14ac:dyDescent="0.4">
      <c r="A5065">
        <v>2313016001</v>
      </c>
      <c r="B5065">
        <v>2313016006</v>
      </c>
      <c r="C5065" t="str">
        <f>T("칵테일로 레벨업 6화")</f>
        <v>칵테일로 레벨업 6화</v>
      </c>
      <c r="D5065" t="str">
        <f>T("6")</f>
        <v>6</v>
      </c>
      <c r="E5065" t="str">
        <f t="shared" si="694"/>
        <v>서강후</v>
      </c>
      <c r="H5065" t="str">
        <f t="shared" si="689"/>
        <v>스토리위즈</v>
      </c>
      <c r="I5065" t="str">
        <f t="shared" si="695"/>
        <v>칵테일로 레벨업</v>
      </c>
      <c r="J5065">
        <v>0</v>
      </c>
      <c r="K5065">
        <v>0</v>
      </c>
      <c r="L5065">
        <v>0</v>
      </c>
      <c r="M5065">
        <v>6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6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R5065" t="str">
        <f t="shared" si="696"/>
        <v>0000000000000</v>
      </c>
      <c r="AT5065" t="str">
        <f t="shared" si="697"/>
        <v>9791137601284</v>
      </c>
      <c r="AV5065" t="str">
        <f t="shared" si="698"/>
        <v>판타지 웹소설 &gt; 현대 판타지</v>
      </c>
    </row>
    <row r="5066" spans="1:48" x14ac:dyDescent="0.4">
      <c r="A5066">
        <v>2313016001</v>
      </c>
      <c r="B5066">
        <v>2313016007</v>
      </c>
      <c r="C5066" t="str">
        <f>T("칵테일로 레벨업 7화")</f>
        <v>칵테일로 레벨업 7화</v>
      </c>
      <c r="D5066" t="str">
        <f>T("7")</f>
        <v>7</v>
      </c>
      <c r="E5066" t="str">
        <f t="shared" si="694"/>
        <v>서강후</v>
      </c>
      <c r="H5066" t="str">
        <f t="shared" si="689"/>
        <v>스토리위즈</v>
      </c>
      <c r="I5066" t="str">
        <f t="shared" si="695"/>
        <v>칵테일로 레벨업</v>
      </c>
      <c r="J5066">
        <v>0</v>
      </c>
      <c r="K5066">
        <v>0</v>
      </c>
      <c r="L5066">
        <v>0</v>
      </c>
      <c r="M5066">
        <v>6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6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R5066" t="str">
        <f t="shared" si="696"/>
        <v>0000000000000</v>
      </c>
      <c r="AT5066" t="str">
        <f t="shared" si="697"/>
        <v>9791137601284</v>
      </c>
      <c r="AV5066" t="str">
        <f t="shared" si="698"/>
        <v>판타지 웹소설 &gt; 현대 판타지</v>
      </c>
    </row>
    <row r="5067" spans="1:48" x14ac:dyDescent="0.4">
      <c r="A5067">
        <v>2313016001</v>
      </c>
      <c r="B5067">
        <v>2313016008</v>
      </c>
      <c r="C5067" t="str">
        <f>T("칵테일로 레벨업 8화")</f>
        <v>칵테일로 레벨업 8화</v>
      </c>
      <c r="D5067" t="str">
        <f>T("8")</f>
        <v>8</v>
      </c>
      <c r="E5067" t="str">
        <f t="shared" si="694"/>
        <v>서강후</v>
      </c>
      <c r="H5067" t="str">
        <f t="shared" si="689"/>
        <v>스토리위즈</v>
      </c>
      <c r="I5067" t="str">
        <f t="shared" si="695"/>
        <v>칵테일로 레벨업</v>
      </c>
      <c r="J5067">
        <v>0</v>
      </c>
      <c r="K5067">
        <v>0</v>
      </c>
      <c r="L5067">
        <v>0</v>
      </c>
      <c r="M5067">
        <v>6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6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R5067" t="str">
        <f t="shared" si="696"/>
        <v>0000000000000</v>
      </c>
      <c r="AT5067" t="str">
        <f t="shared" si="697"/>
        <v>9791137601284</v>
      </c>
      <c r="AV5067" t="str">
        <f t="shared" si="698"/>
        <v>판타지 웹소설 &gt; 현대 판타지</v>
      </c>
    </row>
    <row r="5068" spans="1:48" x14ac:dyDescent="0.4">
      <c r="A5068">
        <v>2313016001</v>
      </c>
      <c r="B5068">
        <v>2313016009</v>
      </c>
      <c r="C5068" t="str">
        <f>T("칵테일로 레벨업 9화")</f>
        <v>칵테일로 레벨업 9화</v>
      </c>
      <c r="D5068" t="str">
        <f>T("9")</f>
        <v>9</v>
      </c>
      <c r="E5068" t="str">
        <f t="shared" si="694"/>
        <v>서강후</v>
      </c>
      <c r="H5068" t="str">
        <f t="shared" si="689"/>
        <v>스토리위즈</v>
      </c>
      <c r="I5068" t="str">
        <f t="shared" si="695"/>
        <v>칵테일로 레벨업</v>
      </c>
      <c r="J5068">
        <v>0</v>
      </c>
      <c r="K5068">
        <v>0</v>
      </c>
      <c r="L5068">
        <v>0</v>
      </c>
      <c r="M5068">
        <v>6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6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R5068" t="str">
        <f t="shared" si="696"/>
        <v>0000000000000</v>
      </c>
      <c r="AT5068" t="str">
        <f t="shared" si="697"/>
        <v>9791137601284</v>
      </c>
      <c r="AV5068" t="str">
        <f t="shared" si="698"/>
        <v>판타지 웹소설 &gt; 현대 판타지</v>
      </c>
    </row>
    <row r="5069" spans="1:48" x14ac:dyDescent="0.4">
      <c r="A5069">
        <v>2313016001</v>
      </c>
      <c r="B5069">
        <v>2313016010</v>
      </c>
      <c r="C5069" t="str">
        <f>T("칵테일로 레벨업 10화")</f>
        <v>칵테일로 레벨업 10화</v>
      </c>
      <c r="D5069" t="str">
        <f>T("10")</f>
        <v>10</v>
      </c>
      <c r="E5069" t="str">
        <f t="shared" si="694"/>
        <v>서강후</v>
      </c>
      <c r="H5069" t="str">
        <f t="shared" si="689"/>
        <v>스토리위즈</v>
      </c>
      <c r="I5069" t="str">
        <f t="shared" si="695"/>
        <v>칵테일로 레벨업</v>
      </c>
      <c r="J5069">
        <v>0</v>
      </c>
      <c r="K5069">
        <v>0</v>
      </c>
      <c r="L5069">
        <v>0</v>
      </c>
      <c r="M5069">
        <v>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6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R5069" t="str">
        <f t="shared" si="696"/>
        <v>0000000000000</v>
      </c>
      <c r="AT5069" t="str">
        <f t="shared" si="697"/>
        <v>9791137601284</v>
      </c>
      <c r="AV5069" t="str">
        <f t="shared" si="698"/>
        <v>판타지 웹소설 &gt; 현대 판타지</v>
      </c>
    </row>
    <row r="5070" spans="1:48" x14ac:dyDescent="0.4">
      <c r="A5070">
        <v>2313016001</v>
      </c>
      <c r="B5070">
        <v>2313016011</v>
      </c>
      <c r="C5070" t="str">
        <f>T("칵테일로 레벨업 11화")</f>
        <v>칵테일로 레벨업 11화</v>
      </c>
      <c r="D5070" t="str">
        <f>T("11")</f>
        <v>11</v>
      </c>
      <c r="E5070" t="str">
        <f t="shared" si="694"/>
        <v>서강후</v>
      </c>
      <c r="H5070" t="str">
        <f t="shared" si="689"/>
        <v>스토리위즈</v>
      </c>
      <c r="I5070" t="str">
        <f t="shared" si="695"/>
        <v>칵테일로 레벨업</v>
      </c>
      <c r="J5070">
        <v>0</v>
      </c>
      <c r="K5070">
        <v>0</v>
      </c>
      <c r="L5070">
        <v>0</v>
      </c>
      <c r="M5070">
        <v>6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6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R5070" t="str">
        <f t="shared" si="696"/>
        <v>0000000000000</v>
      </c>
      <c r="AT5070" t="str">
        <f t="shared" si="697"/>
        <v>9791137601284</v>
      </c>
      <c r="AV5070" t="str">
        <f t="shared" si="698"/>
        <v>판타지 웹소설 &gt; 현대 판타지</v>
      </c>
    </row>
    <row r="5071" spans="1:48" x14ac:dyDescent="0.4">
      <c r="A5071">
        <v>2313016001</v>
      </c>
      <c r="B5071">
        <v>2313016012</v>
      </c>
      <c r="C5071" t="str">
        <f>T("칵테일로 레벨업 12화")</f>
        <v>칵테일로 레벨업 12화</v>
      </c>
      <c r="D5071" t="str">
        <f>T("12")</f>
        <v>12</v>
      </c>
      <c r="E5071" t="str">
        <f t="shared" si="694"/>
        <v>서강후</v>
      </c>
      <c r="H5071" t="str">
        <f t="shared" si="689"/>
        <v>스토리위즈</v>
      </c>
      <c r="I5071" t="str">
        <f t="shared" si="695"/>
        <v>칵테일로 레벨업</v>
      </c>
      <c r="J5071">
        <v>0</v>
      </c>
      <c r="K5071">
        <v>0</v>
      </c>
      <c r="L5071">
        <v>0</v>
      </c>
      <c r="M5071">
        <v>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6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R5071" t="str">
        <f t="shared" si="696"/>
        <v>0000000000000</v>
      </c>
      <c r="AT5071" t="str">
        <f t="shared" si="697"/>
        <v>9791137601284</v>
      </c>
      <c r="AV5071" t="str">
        <f t="shared" si="698"/>
        <v>판타지 웹소설 &gt; 현대 판타지</v>
      </c>
    </row>
    <row r="5072" spans="1:48" x14ac:dyDescent="0.4">
      <c r="A5072">
        <v>2313016001</v>
      </c>
      <c r="B5072">
        <v>2313016013</v>
      </c>
      <c r="C5072" t="str">
        <f>T("칵테일로 레벨업 13화")</f>
        <v>칵테일로 레벨업 13화</v>
      </c>
      <c r="D5072" t="str">
        <f>T("13")</f>
        <v>13</v>
      </c>
      <c r="E5072" t="str">
        <f t="shared" si="694"/>
        <v>서강후</v>
      </c>
      <c r="H5072" t="str">
        <f t="shared" si="689"/>
        <v>스토리위즈</v>
      </c>
      <c r="I5072" t="str">
        <f t="shared" si="695"/>
        <v>칵테일로 레벨업</v>
      </c>
      <c r="J5072">
        <v>0</v>
      </c>
      <c r="K5072">
        <v>0</v>
      </c>
      <c r="L5072">
        <v>0</v>
      </c>
      <c r="M5072">
        <v>6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6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R5072" t="str">
        <f t="shared" si="696"/>
        <v>0000000000000</v>
      </c>
      <c r="AT5072" t="str">
        <f t="shared" si="697"/>
        <v>9791137601284</v>
      </c>
      <c r="AV5072" t="str">
        <f t="shared" si="698"/>
        <v>판타지 웹소설 &gt; 현대 판타지</v>
      </c>
    </row>
    <row r="5073" spans="1:48" x14ac:dyDescent="0.4">
      <c r="A5073">
        <v>2313016001</v>
      </c>
      <c r="B5073">
        <v>2313016014</v>
      </c>
      <c r="C5073" t="str">
        <f>T("칵테일로 레벨업 14화")</f>
        <v>칵테일로 레벨업 14화</v>
      </c>
      <c r="D5073" t="str">
        <f>T("14")</f>
        <v>14</v>
      </c>
      <c r="E5073" t="str">
        <f t="shared" si="694"/>
        <v>서강후</v>
      </c>
      <c r="H5073" t="str">
        <f t="shared" si="689"/>
        <v>스토리위즈</v>
      </c>
      <c r="I5073" t="str">
        <f t="shared" si="695"/>
        <v>칵테일로 레벨업</v>
      </c>
      <c r="J5073">
        <v>0</v>
      </c>
      <c r="K5073">
        <v>0</v>
      </c>
      <c r="L5073">
        <v>0</v>
      </c>
      <c r="M5073">
        <v>5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5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R5073" t="str">
        <f t="shared" si="696"/>
        <v>0000000000000</v>
      </c>
      <c r="AT5073" t="str">
        <f t="shared" si="697"/>
        <v>9791137601284</v>
      </c>
      <c r="AV5073" t="str">
        <f t="shared" si="698"/>
        <v>판타지 웹소설 &gt; 현대 판타지</v>
      </c>
    </row>
    <row r="5074" spans="1:48" x14ac:dyDescent="0.4">
      <c r="A5074">
        <v>2313016001</v>
      </c>
      <c r="B5074">
        <v>2313016015</v>
      </c>
      <c r="C5074" t="str">
        <f>T("칵테일로 레벨업 15화")</f>
        <v>칵테일로 레벨업 15화</v>
      </c>
      <c r="D5074" t="str">
        <f>T("15")</f>
        <v>15</v>
      </c>
      <c r="E5074" t="str">
        <f t="shared" si="694"/>
        <v>서강후</v>
      </c>
      <c r="H5074" t="str">
        <f t="shared" si="689"/>
        <v>스토리위즈</v>
      </c>
      <c r="I5074" t="str">
        <f t="shared" si="695"/>
        <v>칵테일로 레벨업</v>
      </c>
      <c r="J5074">
        <v>0</v>
      </c>
      <c r="K5074">
        <v>0</v>
      </c>
      <c r="L5074">
        <v>0</v>
      </c>
      <c r="M5074">
        <v>4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4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R5074" t="str">
        <f t="shared" si="696"/>
        <v>0000000000000</v>
      </c>
      <c r="AT5074" t="str">
        <f t="shared" si="697"/>
        <v>9791137601284</v>
      </c>
      <c r="AV5074" t="str">
        <f t="shared" si="698"/>
        <v>판타지 웹소설 &gt; 현대 판타지</v>
      </c>
    </row>
    <row r="5075" spans="1:48" x14ac:dyDescent="0.4">
      <c r="A5075">
        <v>2313016001</v>
      </c>
      <c r="B5075">
        <v>2313016016</v>
      </c>
      <c r="C5075" t="str">
        <f>T("칵테일로 레벨업 16화")</f>
        <v>칵테일로 레벨업 16화</v>
      </c>
      <c r="D5075" t="str">
        <f>T("16")</f>
        <v>16</v>
      </c>
      <c r="E5075" t="str">
        <f t="shared" si="694"/>
        <v>서강후</v>
      </c>
      <c r="H5075" t="str">
        <f t="shared" si="689"/>
        <v>스토리위즈</v>
      </c>
      <c r="I5075" t="str">
        <f t="shared" si="695"/>
        <v>칵테일로 레벨업</v>
      </c>
      <c r="J5075">
        <v>0</v>
      </c>
      <c r="K5075">
        <v>0</v>
      </c>
      <c r="L5075">
        <v>0</v>
      </c>
      <c r="M5075">
        <v>4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4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R5075" t="str">
        <f t="shared" si="696"/>
        <v>0000000000000</v>
      </c>
      <c r="AT5075" t="str">
        <f t="shared" si="697"/>
        <v>9791137601284</v>
      </c>
      <c r="AV5075" t="str">
        <f t="shared" si="698"/>
        <v>판타지 웹소설 &gt; 현대 판타지</v>
      </c>
    </row>
    <row r="5076" spans="1:48" x14ac:dyDescent="0.4">
      <c r="A5076">
        <v>2313016001</v>
      </c>
      <c r="B5076">
        <v>2313016017</v>
      </c>
      <c r="C5076" t="str">
        <f>T("칵테일로 레벨업 17화")</f>
        <v>칵테일로 레벨업 17화</v>
      </c>
      <c r="D5076" t="str">
        <f>T("17")</f>
        <v>17</v>
      </c>
      <c r="E5076" t="str">
        <f t="shared" si="694"/>
        <v>서강후</v>
      </c>
      <c r="H5076" t="str">
        <f t="shared" si="689"/>
        <v>스토리위즈</v>
      </c>
      <c r="I5076" t="str">
        <f t="shared" si="695"/>
        <v>칵테일로 레벨업</v>
      </c>
      <c r="J5076">
        <v>0</v>
      </c>
      <c r="K5076">
        <v>0</v>
      </c>
      <c r="L5076">
        <v>0</v>
      </c>
      <c r="M5076">
        <v>4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4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R5076" t="str">
        <f t="shared" si="696"/>
        <v>0000000000000</v>
      </c>
      <c r="AT5076" t="str">
        <f t="shared" si="697"/>
        <v>9791137601284</v>
      </c>
      <c r="AV5076" t="str">
        <f t="shared" si="698"/>
        <v>판타지 웹소설 &gt; 현대 판타지</v>
      </c>
    </row>
    <row r="5077" spans="1:48" x14ac:dyDescent="0.4">
      <c r="A5077">
        <v>2313016001</v>
      </c>
      <c r="B5077">
        <v>2313016018</v>
      </c>
      <c r="C5077" t="str">
        <f>T("칵테일로 레벨업 18화")</f>
        <v>칵테일로 레벨업 18화</v>
      </c>
      <c r="D5077" t="str">
        <f>T("18")</f>
        <v>18</v>
      </c>
      <c r="E5077" t="str">
        <f t="shared" si="694"/>
        <v>서강후</v>
      </c>
      <c r="H5077" t="str">
        <f t="shared" si="689"/>
        <v>스토리위즈</v>
      </c>
      <c r="I5077" t="str">
        <f t="shared" si="695"/>
        <v>칵테일로 레벨업</v>
      </c>
      <c r="J5077">
        <v>0</v>
      </c>
      <c r="K5077">
        <v>0</v>
      </c>
      <c r="L5077">
        <v>0</v>
      </c>
      <c r="M5077">
        <v>4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4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R5077" t="str">
        <f t="shared" si="696"/>
        <v>0000000000000</v>
      </c>
      <c r="AT5077" t="str">
        <f t="shared" si="697"/>
        <v>9791137601284</v>
      </c>
      <c r="AV5077" t="str">
        <f t="shared" si="698"/>
        <v>판타지 웹소설 &gt; 현대 판타지</v>
      </c>
    </row>
    <row r="5078" spans="1:48" x14ac:dyDescent="0.4">
      <c r="A5078">
        <v>2313016001</v>
      </c>
      <c r="B5078">
        <v>2313016019</v>
      </c>
      <c r="C5078" t="str">
        <f>T("칵테일로 레벨업 19화")</f>
        <v>칵테일로 레벨업 19화</v>
      </c>
      <c r="D5078" t="str">
        <f>T("19")</f>
        <v>19</v>
      </c>
      <c r="E5078" t="str">
        <f t="shared" si="694"/>
        <v>서강후</v>
      </c>
      <c r="H5078" t="str">
        <f t="shared" si="689"/>
        <v>스토리위즈</v>
      </c>
      <c r="I5078" t="str">
        <f t="shared" si="695"/>
        <v>칵테일로 레벨업</v>
      </c>
      <c r="J5078">
        <v>0</v>
      </c>
      <c r="K5078">
        <v>0</v>
      </c>
      <c r="L5078">
        <v>0</v>
      </c>
      <c r="M5078">
        <v>4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4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R5078" t="str">
        <f t="shared" si="696"/>
        <v>0000000000000</v>
      </c>
      <c r="AT5078" t="str">
        <f t="shared" si="697"/>
        <v>9791137601284</v>
      </c>
      <c r="AV5078" t="str">
        <f t="shared" si="698"/>
        <v>판타지 웹소설 &gt; 현대 판타지</v>
      </c>
    </row>
    <row r="5079" spans="1:48" x14ac:dyDescent="0.4">
      <c r="A5079">
        <v>2313016001</v>
      </c>
      <c r="B5079">
        <v>2313016020</v>
      </c>
      <c r="C5079" t="str">
        <f>T("칵테일로 레벨업 20화")</f>
        <v>칵테일로 레벨업 20화</v>
      </c>
      <c r="D5079" t="str">
        <f>T("20")</f>
        <v>20</v>
      </c>
      <c r="E5079" t="str">
        <f t="shared" si="694"/>
        <v>서강후</v>
      </c>
      <c r="H5079" t="str">
        <f t="shared" si="689"/>
        <v>스토리위즈</v>
      </c>
      <c r="I5079" t="str">
        <f t="shared" si="695"/>
        <v>칵테일로 레벨업</v>
      </c>
      <c r="J5079">
        <v>0</v>
      </c>
      <c r="K5079">
        <v>0</v>
      </c>
      <c r="L5079">
        <v>0</v>
      </c>
      <c r="M5079">
        <v>3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3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R5079" t="str">
        <f t="shared" si="696"/>
        <v>0000000000000</v>
      </c>
      <c r="AT5079" t="str">
        <f t="shared" si="697"/>
        <v>9791137601284</v>
      </c>
      <c r="AV5079" t="str">
        <f t="shared" si="698"/>
        <v>판타지 웹소설 &gt; 현대 판타지</v>
      </c>
    </row>
    <row r="5080" spans="1:48" x14ac:dyDescent="0.4">
      <c r="A5080">
        <v>2313016001</v>
      </c>
      <c r="B5080">
        <v>2313016021</v>
      </c>
      <c r="C5080" t="str">
        <f>T("칵테일로 레벨업 21화")</f>
        <v>칵테일로 레벨업 21화</v>
      </c>
      <c r="D5080" t="str">
        <f>T("21")</f>
        <v>21</v>
      </c>
      <c r="E5080" t="str">
        <f t="shared" si="694"/>
        <v>서강후</v>
      </c>
      <c r="H5080" t="str">
        <f t="shared" si="689"/>
        <v>스토리위즈</v>
      </c>
      <c r="I5080" t="str">
        <f t="shared" si="695"/>
        <v>칵테일로 레벨업</v>
      </c>
      <c r="J5080">
        <v>0</v>
      </c>
      <c r="K5080">
        <v>0</v>
      </c>
      <c r="L5080">
        <v>0</v>
      </c>
      <c r="M5080">
        <v>4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4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R5080" t="str">
        <f t="shared" si="696"/>
        <v>0000000000000</v>
      </c>
      <c r="AT5080" t="str">
        <f t="shared" si="697"/>
        <v>9791137601284</v>
      </c>
      <c r="AV5080" t="str">
        <f t="shared" si="698"/>
        <v>판타지 웹소설 &gt; 현대 판타지</v>
      </c>
    </row>
    <row r="5081" spans="1:48" x14ac:dyDescent="0.4">
      <c r="A5081">
        <v>2313016001</v>
      </c>
      <c r="B5081">
        <v>2313016022</v>
      </c>
      <c r="C5081" t="str">
        <f>T("칵테일로 레벨업 22화")</f>
        <v>칵테일로 레벨업 22화</v>
      </c>
      <c r="D5081" t="str">
        <f>T("22")</f>
        <v>22</v>
      </c>
      <c r="E5081" t="str">
        <f t="shared" si="694"/>
        <v>서강후</v>
      </c>
      <c r="H5081" t="str">
        <f t="shared" si="689"/>
        <v>스토리위즈</v>
      </c>
      <c r="I5081" t="str">
        <f t="shared" si="695"/>
        <v>칵테일로 레벨업</v>
      </c>
      <c r="J5081">
        <v>0</v>
      </c>
      <c r="K5081">
        <v>0</v>
      </c>
      <c r="L5081">
        <v>0</v>
      </c>
      <c r="M5081">
        <v>4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4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R5081" t="str">
        <f t="shared" si="696"/>
        <v>0000000000000</v>
      </c>
      <c r="AT5081" t="str">
        <f t="shared" si="697"/>
        <v>9791137601284</v>
      </c>
      <c r="AV5081" t="str">
        <f t="shared" si="698"/>
        <v>판타지 웹소설 &gt; 현대 판타지</v>
      </c>
    </row>
    <row r="5082" spans="1:48" x14ac:dyDescent="0.4">
      <c r="A5082">
        <v>2313016001</v>
      </c>
      <c r="B5082">
        <v>2313016023</v>
      </c>
      <c r="C5082" t="str">
        <f>T("칵테일로 레벨업 23화")</f>
        <v>칵테일로 레벨업 23화</v>
      </c>
      <c r="D5082" t="str">
        <f>T("23")</f>
        <v>23</v>
      </c>
      <c r="E5082" t="str">
        <f t="shared" si="694"/>
        <v>서강후</v>
      </c>
      <c r="H5082" t="str">
        <f t="shared" si="689"/>
        <v>스토리위즈</v>
      </c>
      <c r="I5082" t="str">
        <f t="shared" si="695"/>
        <v>칵테일로 레벨업</v>
      </c>
      <c r="J5082">
        <v>0</v>
      </c>
      <c r="K5082">
        <v>0</v>
      </c>
      <c r="L5082">
        <v>0</v>
      </c>
      <c r="M5082">
        <v>4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4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R5082" t="str">
        <f t="shared" si="696"/>
        <v>0000000000000</v>
      </c>
      <c r="AT5082" t="str">
        <f t="shared" si="697"/>
        <v>9791137601284</v>
      </c>
      <c r="AV5082" t="str">
        <f t="shared" si="698"/>
        <v>판타지 웹소설 &gt; 현대 판타지</v>
      </c>
    </row>
    <row r="5083" spans="1:48" x14ac:dyDescent="0.4">
      <c r="A5083">
        <v>2313016001</v>
      </c>
      <c r="B5083">
        <v>2313016024</v>
      </c>
      <c r="C5083" t="str">
        <f>T("칵테일로 레벨업 24화")</f>
        <v>칵테일로 레벨업 24화</v>
      </c>
      <c r="D5083" t="str">
        <f>T("24")</f>
        <v>24</v>
      </c>
      <c r="E5083" t="str">
        <f t="shared" si="694"/>
        <v>서강후</v>
      </c>
      <c r="H5083" t="str">
        <f t="shared" si="689"/>
        <v>스토리위즈</v>
      </c>
      <c r="I5083" t="str">
        <f t="shared" si="695"/>
        <v>칵테일로 레벨업</v>
      </c>
      <c r="J5083">
        <v>0</v>
      </c>
      <c r="K5083">
        <v>0</v>
      </c>
      <c r="L5083">
        <v>0</v>
      </c>
      <c r="M5083">
        <v>4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4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R5083" t="str">
        <f t="shared" si="696"/>
        <v>0000000000000</v>
      </c>
      <c r="AT5083" t="str">
        <f t="shared" si="697"/>
        <v>9791137601284</v>
      </c>
      <c r="AV5083" t="str">
        <f t="shared" si="698"/>
        <v>판타지 웹소설 &gt; 현대 판타지</v>
      </c>
    </row>
    <row r="5084" spans="1:48" x14ac:dyDescent="0.4">
      <c r="A5084">
        <v>2313016001</v>
      </c>
      <c r="B5084">
        <v>2313016025</v>
      </c>
      <c r="C5084" t="str">
        <f>T("칵테일로 레벨업 25화")</f>
        <v>칵테일로 레벨업 25화</v>
      </c>
      <c r="D5084" t="str">
        <f>T("25")</f>
        <v>25</v>
      </c>
      <c r="E5084" t="str">
        <f t="shared" si="694"/>
        <v>서강후</v>
      </c>
      <c r="H5084" t="str">
        <f t="shared" si="689"/>
        <v>스토리위즈</v>
      </c>
      <c r="I5084" t="str">
        <f t="shared" si="695"/>
        <v>칵테일로 레벨업</v>
      </c>
      <c r="J5084">
        <v>0</v>
      </c>
      <c r="K5084">
        <v>0</v>
      </c>
      <c r="L5084">
        <v>0</v>
      </c>
      <c r="M5084">
        <v>4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4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R5084" t="str">
        <f t="shared" si="696"/>
        <v>0000000000000</v>
      </c>
      <c r="AT5084" t="str">
        <f t="shared" si="697"/>
        <v>9791137601284</v>
      </c>
      <c r="AV5084" t="str">
        <f t="shared" si="698"/>
        <v>판타지 웹소설 &gt; 현대 판타지</v>
      </c>
    </row>
    <row r="5085" spans="1:48" x14ac:dyDescent="0.4">
      <c r="A5085">
        <v>2313016201</v>
      </c>
      <c r="B5085">
        <v>2313016201</v>
      </c>
      <c r="C5085" t="str">
        <f>T("[e북]회귀했는데 FFF급 부두술사 1권")</f>
        <v>[e북]회귀했는데 FFF급 부두술사 1권</v>
      </c>
      <c r="D5085" t="str">
        <f>T("1")</f>
        <v>1</v>
      </c>
      <c r="E5085" t="str">
        <f>T("빡선생")</f>
        <v>빡선생</v>
      </c>
      <c r="H5085" t="str">
        <f t="shared" si="689"/>
        <v>스토리위즈</v>
      </c>
      <c r="I5085" t="str">
        <f>T("[e북]회귀했는데 FFF급 부두술사")</f>
        <v>[e북]회귀했는데 FFF급 부두술사</v>
      </c>
      <c r="J5085">
        <v>0</v>
      </c>
      <c r="K5085">
        <v>0</v>
      </c>
      <c r="L5085">
        <v>0</v>
      </c>
      <c r="M5085">
        <v>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2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R5085" t="str">
        <f t="shared" si="696"/>
        <v>0000000000000</v>
      </c>
      <c r="AT5085" t="str">
        <f>T("9791137603653")</f>
        <v>9791137603653</v>
      </c>
      <c r="AV5085" t="str">
        <f>T("판타지 e북 &gt; 게임 판타지")</f>
        <v>판타지 e북 &gt; 게임 판타지</v>
      </c>
    </row>
    <row r="5086" spans="1:48" x14ac:dyDescent="0.4">
      <c r="A5086">
        <v>2313016211</v>
      </c>
      <c r="B5086">
        <v>2313016211</v>
      </c>
      <c r="C5086" t="str">
        <f>T("[e북]버그 걸린 드래곤 1권")</f>
        <v>[e북]버그 걸린 드래곤 1권</v>
      </c>
      <c r="D5086" t="str">
        <f>T("1")</f>
        <v>1</v>
      </c>
      <c r="E5086" t="str">
        <f>T("폴딩")</f>
        <v>폴딩</v>
      </c>
      <c r="H5086" t="str">
        <f t="shared" si="689"/>
        <v>스토리위즈</v>
      </c>
      <c r="I5086" t="str">
        <f>T("[e북]버그 걸린 드래곤")</f>
        <v>[e북]버그 걸린 드래곤</v>
      </c>
      <c r="J5086">
        <v>0</v>
      </c>
      <c r="K5086">
        <v>0</v>
      </c>
      <c r="L5086">
        <v>0</v>
      </c>
      <c r="M5086">
        <v>9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9</v>
      </c>
      <c r="AI5086">
        <v>0</v>
      </c>
      <c r="AJ5086">
        <v>1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R5086" t="str">
        <f t="shared" si="696"/>
        <v>0000000000000</v>
      </c>
      <c r="AT5086" t="str">
        <f>T("9791137603813")</f>
        <v>9791137603813</v>
      </c>
      <c r="AV5086" t="str">
        <f>T("판타지 e북 &gt; 퓨전 판타지")</f>
        <v>판타지 e북 &gt; 퓨전 판타지</v>
      </c>
    </row>
    <row r="5087" spans="1:48" x14ac:dyDescent="0.4">
      <c r="A5087">
        <v>2313016217</v>
      </c>
      <c r="B5087">
        <v>2313016217</v>
      </c>
      <c r="C5087" t="str">
        <f>T("내 안에 흑염룡이 산다! 1화")</f>
        <v>내 안에 흑염룡이 산다! 1화</v>
      </c>
      <c r="D5087" t="str">
        <f>T("1")</f>
        <v>1</v>
      </c>
      <c r="E5087" t="str">
        <f t="shared" ref="E5087:E5111" si="699">T("리세마라")</f>
        <v>리세마라</v>
      </c>
      <c r="H5087" t="str">
        <f t="shared" ref="H5087:H5146" si="700">T("스토리위즈")</f>
        <v>스토리위즈</v>
      </c>
      <c r="I5087" t="str">
        <f t="shared" ref="I5087:I5111" si="701">T("내 안에 흑염룡이 산다!")</f>
        <v>내 안에 흑염룡이 산다!</v>
      </c>
      <c r="J5087">
        <v>0</v>
      </c>
      <c r="K5087">
        <v>0</v>
      </c>
      <c r="L5087">
        <v>0</v>
      </c>
      <c r="M5087">
        <v>7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7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T5087" t="str">
        <f t="shared" ref="AT5087:AT5111" si="702">T("9791137601338")</f>
        <v>9791137601338</v>
      </c>
      <c r="AV5087" t="str">
        <f t="shared" ref="AV5087:AV5145" si="703">T("판타지 웹소설 &gt; 퓨전 판타지")</f>
        <v>판타지 웹소설 &gt; 퓨전 판타지</v>
      </c>
    </row>
    <row r="5088" spans="1:48" x14ac:dyDescent="0.4">
      <c r="A5088">
        <v>2313016217</v>
      </c>
      <c r="B5088">
        <v>2313016218</v>
      </c>
      <c r="C5088" t="str">
        <f>T("내 안에 흑염룡이 산다! 2화")</f>
        <v>내 안에 흑염룡이 산다! 2화</v>
      </c>
      <c r="D5088" t="str">
        <f>T("2")</f>
        <v>2</v>
      </c>
      <c r="E5088" t="str">
        <f t="shared" si="699"/>
        <v>리세마라</v>
      </c>
      <c r="H5088" t="str">
        <f t="shared" si="700"/>
        <v>스토리위즈</v>
      </c>
      <c r="I5088" t="str">
        <f t="shared" si="701"/>
        <v>내 안에 흑염룡이 산다!</v>
      </c>
      <c r="J5088">
        <v>0</v>
      </c>
      <c r="K5088">
        <v>0</v>
      </c>
      <c r="L5088">
        <v>0</v>
      </c>
      <c r="M5088">
        <v>6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6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T5088" t="str">
        <f t="shared" si="702"/>
        <v>9791137601338</v>
      </c>
      <c r="AV5088" t="str">
        <f t="shared" si="703"/>
        <v>판타지 웹소설 &gt; 퓨전 판타지</v>
      </c>
    </row>
    <row r="5089" spans="1:48" x14ac:dyDescent="0.4">
      <c r="A5089">
        <v>2313016217</v>
      </c>
      <c r="B5089">
        <v>2313016219</v>
      </c>
      <c r="C5089" t="str">
        <f>T("내 안에 흑염룡이 산다! 3화")</f>
        <v>내 안에 흑염룡이 산다! 3화</v>
      </c>
      <c r="D5089" t="str">
        <f>T("3")</f>
        <v>3</v>
      </c>
      <c r="E5089" t="str">
        <f t="shared" si="699"/>
        <v>리세마라</v>
      </c>
      <c r="H5089" t="str">
        <f t="shared" si="700"/>
        <v>스토리위즈</v>
      </c>
      <c r="I5089" t="str">
        <f t="shared" si="701"/>
        <v>내 안에 흑염룡이 산다!</v>
      </c>
      <c r="J5089">
        <v>0</v>
      </c>
      <c r="K5089">
        <v>0</v>
      </c>
      <c r="L5089">
        <v>0</v>
      </c>
      <c r="M5089">
        <v>5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5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T5089" t="str">
        <f t="shared" si="702"/>
        <v>9791137601338</v>
      </c>
      <c r="AV5089" t="str">
        <f t="shared" si="703"/>
        <v>판타지 웹소설 &gt; 퓨전 판타지</v>
      </c>
    </row>
    <row r="5090" spans="1:48" x14ac:dyDescent="0.4">
      <c r="A5090">
        <v>2313016217</v>
      </c>
      <c r="B5090">
        <v>2313016220</v>
      </c>
      <c r="C5090" t="str">
        <f>T("내 안에 흑염룡이 산다! 4화")</f>
        <v>내 안에 흑염룡이 산다! 4화</v>
      </c>
      <c r="D5090" t="str">
        <f>T("4")</f>
        <v>4</v>
      </c>
      <c r="E5090" t="str">
        <f t="shared" si="699"/>
        <v>리세마라</v>
      </c>
      <c r="H5090" t="str">
        <f t="shared" si="700"/>
        <v>스토리위즈</v>
      </c>
      <c r="I5090" t="str">
        <f t="shared" si="701"/>
        <v>내 안에 흑염룡이 산다!</v>
      </c>
      <c r="J5090">
        <v>0</v>
      </c>
      <c r="K5090">
        <v>0</v>
      </c>
      <c r="L5090">
        <v>0</v>
      </c>
      <c r="M5090">
        <v>4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4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T5090" t="str">
        <f t="shared" si="702"/>
        <v>9791137601338</v>
      </c>
      <c r="AV5090" t="str">
        <f t="shared" si="703"/>
        <v>판타지 웹소설 &gt; 퓨전 판타지</v>
      </c>
    </row>
    <row r="5091" spans="1:48" x14ac:dyDescent="0.4">
      <c r="A5091">
        <v>2313016217</v>
      </c>
      <c r="B5091">
        <v>2313016221</v>
      </c>
      <c r="C5091" t="str">
        <f>T("내 안에 흑염룡이 산다! 5화")</f>
        <v>내 안에 흑염룡이 산다! 5화</v>
      </c>
      <c r="D5091" t="str">
        <f>T("5")</f>
        <v>5</v>
      </c>
      <c r="E5091" t="str">
        <f t="shared" si="699"/>
        <v>리세마라</v>
      </c>
      <c r="H5091" t="str">
        <f t="shared" si="700"/>
        <v>스토리위즈</v>
      </c>
      <c r="I5091" t="str">
        <f t="shared" si="701"/>
        <v>내 안에 흑염룡이 산다!</v>
      </c>
      <c r="J5091">
        <v>0</v>
      </c>
      <c r="K5091">
        <v>0</v>
      </c>
      <c r="L5091">
        <v>0</v>
      </c>
      <c r="M5091">
        <v>4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4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T5091" t="str">
        <f t="shared" si="702"/>
        <v>9791137601338</v>
      </c>
      <c r="AV5091" t="str">
        <f t="shared" si="703"/>
        <v>판타지 웹소설 &gt; 퓨전 판타지</v>
      </c>
    </row>
    <row r="5092" spans="1:48" x14ac:dyDescent="0.4">
      <c r="A5092">
        <v>2313016217</v>
      </c>
      <c r="B5092">
        <v>2313016222</v>
      </c>
      <c r="C5092" t="str">
        <f>T("내 안에 흑염룡이 산다! 6화")</f>
        <v>내 안에 흑염룡이 산다! 6화</v>
      </c>
      <c r="D5092" t="str">
        <f>T("6")</f>
        <v>6</v>
      </c>
      <c r="E5092" t="str">
        <f t="shared" si="699"/>
        <v>리세마라</v>
      </c>
      <c r="H5092" t="str">
        <f t="shared" si="700"/>
        <v>스토리위즈</v>
      </c>
      <c r="I5092" t="str">
        <f t="shared" si="701"/>
        <v>내 안에 흑염룡이 산다!</v>
      </c>
      <c r="J5092">
        <v>0</v>
      </c>
      <c r="K5092">
        <v>0</v>
      </c>
      <c r="L5092">
        <v>0</v>
      </c>
      <c r="M5092">
        <v>3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3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T5092" t="str">
        <f t="shared" si="702"/>
        <v>9791137601338</v>
      </c>
      <c r="AV5092" t="str">
        <f t="shared" si="703"/>
        <v>판타지 웹소설 &gt; 퓨전 판타지</v>
      </c>
    </row>
    <row r="5093" spans="1:48" x14ac:dyDescent="0.4">
      <c r="A5093">
        <v>2313016217</v>
      </c>
      <c r="B5093">
        <v>2313016223</v>
      </c>
      <c r="C5093" t="str">
        <f>T("내 안에 흑염룡이 산다! 7화")</f>
        <v>내 안에 흑염룡이 산다! 7화</v>
      </c>
      <c r="D5093" t="str">
        <f>T("7")</f>
        <v>7</v>
      </c>
      <c r="E5093" t="str">
        <f t="shared" si="699"/>
        <v>리세마라</v>
      </c>
      <c r="H5093" t="str">
        <f t="shared" si="700"/>
        <v>스토리위즈</v>
      </c>
      <c r="I5093" t="str">
        <f t="shared" si="701"/>
        <v>내 안에 흑염룡이 산다!</v>
      </c>
      <c r="J5093">
        <v>0</v>
      </c>
      <c r="K5093">
        <v>0</v>
      </c>
      <c r="L5093">
        <v>0</v>
      </c>
      <c r="M5093">
        <v>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2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T5093" t="str">
        <f t="shared" si="702"/>
        <v>9791137601338</v>
      </c>
      <c r="AV5093" t="str">
        <f t="shared" si="703"/>
        <v>판타지 웹소설 &gt; 퓨전 판타지</v>
      </c>
    </row>
    <row r="5094" spans="1:48" x14ac:dyDescent="0.4">
      <c r="A5094">
        <v>2313016217</v>
      </c>
      <c r="B5094">
        <v>2313016224</v>
      </c>
      <c r="C5094" t="str">
        <f>T("내 안에 흑염룡이 산다! 8화")</f>
        <v>내 안에 흑염룡이 산다! 8화</v>
      </c>
      <c r="D5094" t="str">
        <f>T("8")</f>
        <v>8</v>
      </c>
      <c r="E5094" t="str">
        <f t="shared" si="699"/>
        <v>리세마라</v>
      </c>
      <c r="H5094" t="str">
        <f t="shared" si="700"/>
        <v>스토리위즈</v>
      </c>
      <c r="I5094" t="str">
        <f t="shared" si="701"/>
        <v>내 안에 흑염룡이 산다!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T5094" t="str">
        <f t="shared" si="702"/>
        <v>9791137601338</v>
      </c>
      <c r="AV5094" t="str">
        <f t="shared" si="703"/>
        <v>판타지 웹소설 &gt; 퓨전 판타지</v>
      </c>
    </row>
    <row r="5095" spans="1:48" x14ac:dyDescent="0.4">
      <c r="A5095">
        <v>2313016217</v>
      </c>
      <c r="B5095">
        <v>2313016225</v>
      </c>
      <c r="C5095" t="str">
        <f>T("내 안에 흑염룡이 산다! 9화")</f>
        <v>내 안에 흑염룡이 산다! 9화</v>
      </c>
      <c r="D5095" t="str">
        <f>T("9")</f>
        <v>9</v>
      </c>
      <c r="E5095" t="str">
        <f t="shared" si="699"/>
        <v>리세마라</v>
      </c>
      <c r="H5095" t="str">
        <f t="shared" si="700"/>
        <v>스토리위즈</v>
      </c>
      <c r="I5095" t="str">
        <f t="shared" si="701"/>
        <v>내 안에 흑염룡이 산다!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T5095" t="str">
        <f t="shared" si="702"/>
        <v>9791137601338</v>
      </c>
      <c r="AV5095" t="str">
        <f t="shared" si="703"/>
        <v>판타지 웹소설 &gt; 퓨전 판타지</v>
      </c>
    </row>
    <row r="5096" spans="1:48" x14ac:dyDescent="0.4">
      <c r="A5096">
        <v>2313016217</v>
      </c>
      <c r="B5096">
        <v>2313016226</v>
      </c>
      <c r="C5096" t="str">
        <f>T("내 안에 흑염룡이 산다! 10화")</f>
        <v>내 안에 흑염룡이 산다! 10화</v>
      </c>
      <c r="D5096" t="str">
        <f>T("10")</f>
        <v>10</v>
      </c>
      <c r="E5096" t="str">
        <f t="shared" si="699"/>
        <v>리세마라</v>
      </c>
      <c r="H5096" t="str">
        <f t="shared" si="700"/>
        <v>스토리위즈</v>
      </c>
      <c r="I5096" t="str">
        <f t="shared" si="701"/>
        <v>내 안에 흑염룡이 산다!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T5096" t="str">
        <f t="shared" si="702"/>
        <v>9791137601338</v>
      </c>
      <c r="AV5096" t="str">
        <f t="shared" si="703"/>
        <v>판타지 웹소설 &gt; 퓨전 판타지</v>
      </c>
    </row>
    <row r="5097" spans="1:48" x14ac:dyDescent="0.4">
      <c r="A5097">
        <v>2313016217</v>
      </c>
      <c r="B5097">
        <v>2313016227</v>
      </c>
      <c r="C5097" t="str">
        <f>T("내 안에 흑염룡이 산다! 11화")</f>
        <v>내 안에 흑염룡이 산다! 11화</v>
      </c>
      <c r="D5097" t="str">
        <f>T("11")</f>
        <v>11</v>
      </c>
      <c r="E5097" t="str">
        <f t="shared" si="699"/>
        <v>리세마라</v>
      </c>
      <c r="H5097" t="str">
        <f t="shared" si="700"/>
        <v>스토리위즈</v>
      </c>
      <c r="I5097" t="str">
        <f t="shared" si="701"/>
        <v>내 안에 흑염룡이 산다!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T5097" t="str">
        <f t="shared" si="702"/>
        <v>9791137601338</v>
      </c>
      <c r="AV5097" t="str">
        <f t="shared" si="703"/>
        <v>판타지 웹소설 &gt; 퓨전 판타지</v>
      </c>
    </row>
    <row r="5098" spans="1:48" x14ac:dyDescent="0.4">
      <c r="A5098">
        <v>2313016217</v>
      </c>
      <c r="B5098">
        <v>2313016228</v>
      </c>
      <c r="C5098" t="str">
        <f>T("내 안에 흑염룡이 산다! 12화")</f>
        <v>내 안에 흑염룡이 산다! 12화</v>
      </c>
      <c r="D5098" t="str">
        <f>T("12")</f>
        <v>12</v>
      </c>
      <c r="E5098" t="str">
        <f t="shared" si="699"/>
        <v>리세마라</v>
      </c>
      <c r="H5098" t="str">
        <f t="shared" si="700"/>
        <v>스토리위즈</v>
      </c>
      <c r="I5098" t="str">
        <f t="shared" si="701"/>
        <v>내 안에 흑염룡이 산다!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T5098" t="str">
        <f t="shared" si="702"/>
        <v>9791137601338</v>
      </c>
      <c r="AV5098" t="str">
        <f t="shared" si="703"/>
        <v>판타지 웹소설 &gt; 퓨전 판타지</v>
      </c>
    </row>
    <row r="5099" spans="1:48" x14ac:dyDescent="0.4">
      <c r="A5099">
        <v>2313016217</v>
      </c>
      <c r="B5099">
        <v>2313016229</v>
      </c>
      <c r="C5099" t="str">
        <f>T("내 안에 흑염룡이 산다! 13화")</f>
        <v>내 안에 흑염룡이 산다! 13화</v>
      </c>
      <c r="D5099" t="str">
        <f>T("13")</f>
        <v>13</v>
      </c>
      <c r="E5099" t="str">
        <f t="shared" si="699"/>
        <v>리세마라</v>
      </c>
      <c r="H5099" t="str">
        <f t="shared" si="700"/>
        <v>스토리위즈</v>
      </c>
      <c r="I5099" t="str">
        <f t="shared" si="701"/>
        <v>내 안에 흑염룡이 산다!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T5099" t="str">
        <f t="shared" si="702"/>
        <v>9791137601338</v>
      </c>
      <c r="AV5099" t="str">
        <f t="shared" si="703"/>
        <v>판타지 웹소설 &gt; 퓨전 판타지</v>
      </c>
    </row>
    <row r="5100" spans="1:48" x14ac:dyDescent="0.4">
      <c r="A5100">
        <v>2313016217</v>
      </c>
      <c r="B5100">
        <v>2313016230</v>
      </c>
      <c r="C5100" t="str">
        <f>T("내 안에 흑염룡이 산다! 14화")</f>
        <v>내 안에 흑염룡이 산다! 14화</v>
      </c>
      <c r="D5100" t="str">
        <f>T("14")</f>
        <v>14</v>
      </c>
      <c r="E5100" t="str">
        <f t="shared" si="699"/>
        <v>리세마라</v>
      </c>
      <c r="H5100" t="str">
        <f t="shared" si="700"/>
        <v>스토리위즈</v>
      </c>
      <c r="I5100" t="str">
        <f t="shared" si="701"/>
        <v>내 안에 흑염룡이 산다!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T5100" t="str">
        <f t="shared" si="702"/>
        <v>9791137601338</v>
      </c>
      <c r="AV5100" t="str">
        <f t="shared" si="703"/>
        <v>판타지 웹소설 &gt; 퓨전 판타지</v>
      </c>
    </row>
    <row r="5101" spans="1:48" x14ac:dyDescent="0.4">
      <c r="A5101">
        <v>2313016217</v>
      </c>
      <c r="B5101">
        <v>2313016231</v>
      </c>
      <c r="C5101" t="str">
        <f>T("내 안에 흑염룡이 산다! 15화")</f>
        <v>내 안에 흑염룡이 산다! 15화</v>
      </c>
      <c r="D5101" t="str">
        <f>T("15")</f>
        <v>15</v>
      </c>
      <c r="E5101" t="str">
        <f t="shared" si="699"/>
        <v>리세마라</v>
      </c>
      <c r="H5101" t="str">
        <f t="shared" si="700"/>
        <v>스토리위즈</v>
      </c>
      <c r="I5101" t="str">
        <f t="shared" si="701"/>
        <v>내 안에 흑염룡이 산다!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T5101" t="str">
        <f t="shared" si="702"/>
        <v>9791137601338</v>
      </c>
      <c r="AV5101" t="str">
        <f t="shared" si="703"/>
        <v>판타지 웹소설 &gt; 퓨전 판타지</v>
      </c>
    </row>
    <row r="5102" spans="1:48" x14ac:dyDescent="0.4">
      <c r="A5102">
        <v>2313016217</v>
      </c>
      <c r="B5102">
        <v>2313016232</v>
      </c>
      <c r="C5102" t="str">
        <f>T("내 안에 흑염룡이 산다! 16화")</f>
        <v>내 안에 흑염룡이 산다! 16화</v>
      </c>
      <c r="D5102" t="str">
        <f>T("16")</f>
        <v>16</v>
      </c>
      <c r="E5102" t="str">
        <f t="shared" si="699"/>
        <v>리세마라</v>
      </c>
      <c r="H5102" t="str">
        <f t="shared" si="700"/>
        <v>스토리위즈</v>
      </c>
      <c r="I5102" t="str">
        <f t="shared" si="701"/>
        <v>내 안에 흑염룡이 산다!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1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T5102" t="str">
        <f t="shared" si="702"/>
        <v>9791137601338</v>
      </c>
      <c r="AV5102" t="str">
        <f t="shared" si="703"/>
        <v>판타지 웹소설 &gt; 퓨전 판타지</v>
      </c>
    </row>
    <row r="5103" spans="1:48" x14ac:dyDescent="0.4">
      <c r="A5103">
        <v>2313016217</v>
      </c>
      <c r="B5103">
        <v>2313016233</v>
      </c>
      <c r="C5103" t="str">
        <f>T("내 안에 흑염룡이 산다! 17화")</f>
        <v>내 안에 흑염룡이 산다! 17화</v>
      </c>
      <c r="D5103" t="str">
        <f>T("17")</f>
        <v>17</v>
      </c>
      <c r="E5103" t="str">
        <f t="shared" si="699"/>
        <v>리세마라</v>
      </c>
      <c r="H5103" t="str">
        <f t="shared" si="700"/>
        <v>스토리위즈</v>
      </c>
      <c r="I5103" t="str">
        <f t="shared" si="701"/>
        <v>내 안에 흑염룡이 산다!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1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T5103" t="str">
        <f t="shared" si="702"/>
        <v>9791137601338</v>
      </c>
      <c r="AV5103" t="str">
        <f t="shared" si="703"/>
        <v>판타지 웹소설 &gt; 퓨전 판타지</v>
      </c>
    </row>
    <row r="5104" spans="1:48" x14ac:dyDescent="0.4">
      <c r="A5104">
        <v>2313016217</v>
      </c>
      <c r="B5104">
        <v>2313016234</v>
      </c>
      <c r="C5104" t="str">
        <f>T("내 안에 흑염룡이 산다! 18화")</f>
        <v>내 안에 흑염룡이 산다! 18화</v>
      </c>
      <c r="D5104" t="str">
        <f>T("18")</f>
        <v>18</v>
      </c>
      <c r="E5104" t="str">
        <f t="shared" si="699"/>
        <v>리세마라</v>
      </c>
      <c r="H5104" t="str">
        <f t="shared" si="700"/>
        <v>스토리위즈</v>
      </c>
      <c r="I5104" t="str">
        <f t="shared" si="701"/>
        <v>내 안에 흑염룡이 산다!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T5104" t="str">
        <f t="shared" si="702"/>
        <v>9791137601338</v>
      </c>
      <c r="AV5104" t="str">
        <f t="shared" si="703"/>
        <v>판타지 웹소설 &gt; 퓨전 판타지</v>
      </c>
    </row>
    <row r="5105" spans="1:48" x14ac:dyDescent="0.4">
      <c r="A5105">
        <v>2313016217</v>
      </c>
      <c r="B5105">
        <v>2313016235</v>
      </c>
      <c r="C5105" t="str">
        <f>T("내 안에 흑염룡이 산다! 19화")</f>
        <v>내 안에 흑염룡이 산다! 19화</v>
      </c>
      <c r="D5105" t="str">
        <f>T("19")</f>
        <v>19</v>
      </c>
      <c r="E5105" t="str">
        <f t="shared" si="699"/>
        <v>리세마라</v>
      </c>
      <c r="H5105" t="str">
        <f t="shared" si="700"/>
        <v>스토리위즈</v>
      </c>
      <c r="I5105" t="str">
        <f t="shared" si="701"/>
        <v>내 안에 흑염룡이 산다!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T5105" t="str">
        <f t="shared" si="702"/>
        <v>9791137601338</v>
      </c>
      <c r="AV5105" t="str">
        <f t="shared" si="703"/>
        <v>판타지 웹소설 &gt; 퓨전 판타지</v>
      </c>
    </row>
    <row r="5106" spans="1:48" x14ac:dyDescent="0.4">
      <c r="A5106">
        <v>2313016217</v>
      </c>
      <c r="B5106">
        <v>2313016236</v>
      </c>
      <c r="C5106" t="str">
        <f>T("내 안에 흑염룡이 산다! 20화")</f>
        <v>내 안에 흑염룡이 산다! 20화</v>
      </c>
      <c r="D5106" t="str">
        <f>T("20")</f>
        <v>20</v>
      </c>
      <c r="E5106" t="str">
        <f t="shared" si="699"/>
        <v>리세마라</v>
      </c>
      <c r="H5106" t="str">
        <f t="shared" si="700"/>
        <v>스토리위즈</v>
      </c>
      <c r="I5106" t="str">
        <f t="shared" si="701"/>
        <v>내 안에 흑염룡이 산다!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T5106" t="str">
        <f t="shared" si="702"/>
        <v>9791137601338</v>
      </c>
      <c r="AV5106" t="str">
        <f t="shared" si="703"/>
        <v>판타지 웹소설 &gt; 퓨전 판타지</v>
      </c>
    </row>
    <row r="5107" spans="1:48" x14ac:dyDescent="0.4">
      <c r="A5107">
        <v>2313016217</v>
      </c>
      <c r="B5107">
        <v>2313016237</v>
      </c>
      <c r="C5107" t="str">
        <f>T("내 안에 흑염룡이 산다! 21화")</f>
        <v>내 안에 흑염룡이 산다! 21화</v>
      </c>
      <c r="D5107" t="str">
        <f>T("21")</f>
        <v>21</v>
      </c>
      <c r="E5107" t="str">
        <f t="shared" si="699"/>
        <v>리세마라</v>
      </c>
      <c r="H5107" t="str">
        <f t="shared" si="700"/>
        <v>스토리위즈</v>
      </c>
      <c r="I5107" t="str">
        <f t="shared" si="701"/>
        <v>내 안에 흑염룡이 산다!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1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T5107" t="str">
        <f t="shared" si="702"/>
        <v>9791137601338</v>
      </c>
      <c r="AV5107" t="str">
        <f t="shared" si="703"/>
        <v>판타지 웹소설 &gt; 퓨전 판타지</v>
      </c>
    </row>
    <row r="5108" spans="1:48" x14ac:dyDescent="0.4">
      <c r="A5108">
        <v>2313016217</v>
      </c>
      <c r="B5108">
        <v>2313016238</v>
      </c>
      <c r="C5108" t="str">
        <f>T("내 안에 흑염룡이 산다! 22화")</f>
        <v>내 안에 흑염룡이 산다! 22화</v>
      </c>
      <c r="D5108" t="str">
        <f>T("22")</f>
        <v>22</v>
      </c>
      <c r="E5108" t="str">
        <f t="shared" si="699"/>
        <v>리세마라</v>
      </c>
      <c r="H5108" t="str">
        <f t="shared" si="700"/>
        <v>스토리위즈</v>
      </c>
      <c r="I5108" t="str">
        <f t="shared" si="701"/>
        <v>내 안에 흑염룡이 산다!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T5108" t="str">
        <f t="shared" si="702"/>
        <v>9791137601338</v>
      </c>
      <c r="AV5108" t="str">
        <f t="shared" si="703"/>
        <v>판타지 웹소설 &gt; 퓨전 판타지</v>
      </c>
    </row>
    <row r="5109" spans="1:48" x14ac:dyDescent="0.4">
      <c r="A5109">
        <v>2313016217</v>
      </c>
      <c r="B5109">
        <v>2313016239</v>
      </c>
      <c r="C5109" t="str">
        <f>T("내 안에 흑염룡이 산다! 23화")</f>
        <v>내 안에 흑염룡이 산다! 23화</v>
      </c>
      <c r="D5109" t="str">
        <f>T("23")</f>
        <v>23</v>
      </c>
      <c r="E5109" t="str">
        <f t="shared" si="699"/>
        <v>리세마라</v>
      </c>
      <c r="H5109" t="str">
        <f t="shared" si="700"/>
        <v>스토리위즈</v>
      </c>
      <c r="I5109" t="str">
        <f t="shared" si="701"/>
        <v>내 안에 흑염룡이 산다!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T5109" t="str">
        <f t="shared" si="702"/>
        <v>9791137601338</v>
      </c>
      <c r="AV5109" t="str">
        <f t="shared" si="703"/>
        <v>판타지 웹소설 &gt; 퓨전 판타지</v>
      </c>
    </row>
    <row r="5110" spans="1:48" x14ac:dyDescent="0.4">
      <c r="A5110">
        <v>2313016217</v>
      </c>
      <c r="B5110">
        <v>2313016240</v>
      </c>
      <c r="C5110" t="str">
        <f>T("내 안에 흑염룡이 산다! 24화")</f>
        <v>내 안에 흑염룡이 산다! 24화</v>
      </c>
      <c r="D5110" t="str">
        <f>T("24")</f>
        <v>24</v>
      </c>
      <c r="E5110" t="str">
        <f t="shared" si="699"/>
        <v>리세마라</v>
      </c>
      <c r="H5110" t="str">
        <f t="shared" si="700"/>
        <v>스토리위즈</v>
      </c>
      <c r="I5110" t="str">
        <f t="shared" si="701"/>
        <v>내 안에 흑염룡이 산다!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T5110" t="str">
        <f t="shared" si="702"/>
        <v>9791137601338</v>
      </c>
      <c r="AV5110" t="str">
        <f t="shared" si="703"/>
        <v>판타지 웹소설 &gt; 퓨전 판타지</v>
      </c>
    </row>
    <row r="5111" spans="1:48" x14ac:dyDescent="0.4">
      <c r="A5111">
        <v>2313016217</v>
      </c>
      <c r="B5111">
        <v>2313016241</v>
      </c>
      <c r="C5111" t="str">
        <f>T("내 안에 흑염룡이 산다! 25화")</f>
        <v>내 안에 흑염룡이 산다! 25화</v>
      </c>
      <c r="D5111" t="str">
        <f>T("25")</f>
        <v>25</v>
      </c>
      <c r="E5111" t="str">
        <f t="shared" si="699"/>
        <v>리세마라</v>
      </c>
      <c r="H5111" t="str">
        <f t="shared" si="700"/>
        <v>스토리위즈</v>
      </c>
      <c r="I5111" t="str">
        <f t="shared" si="701"/>
        <v>내 안에 흑염룡이 산다!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T5111" t="str">
        <f t="shared" si="702"/>
        <v>9791137601338</v>
      </c>
      <c r="AV5111" t="str">
        <f t="shared" si="703"/>
        <v>판타지 웹소설 &gt; 퓨전 판타지</v>
      </c>
    </row>
    <row r="5112" spans="1:48" x14ac:dyDescent="0.4">
      <c r="A5112">
        <v>2313016417</v>
      </c>
      <c r="B5112">
        <v>2313016417</v>
      </c>
      <c r="C5112" t="str">
        <f>T("얼굴 천재 교주가 되었다 1화")</f>
        <v>얼굴 천재 교주가 되었다 1화</v>
      </c>
      <c r="D5112" t="str">
        <f>T("1")</f>
        <v>1</v>
      </c>
      <c r="E5112" t="str">
        <f t="shared" ref="E5112:E5120" si="704">T("비고")</f>
        <v>비고</v>
      </c>
      <c r="H5112" t="str">
        <f t="shared" si="700"/>
        <v>스토리위즈</v>
      </c>
      <c r="I5112" t="str">
        <f t="shared" ref="I5112:I5120" si="705">T("얼굴 천재 교주가 되었다")</f>
        <v>얼굴 천재 교주가 되었다</v>
      </c>
      <c r="J5112">
        <v>0</v>
      </c>
      <c r="K5112">
        <v>0</v>
      </c>
      <c r="L5112">
        <v>0</v>
      </c>
      <c r="M5112">
        <v>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2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T5112" t="str">
        <f t="shared" ref="AT5112:AT5120" si="706">T("9791137601345")</f>
        <v>9791137601345</v>
      </c>
      <c r="AV5112" t="str">
        <f t="shared" si="703"/>
        <v>판타지 웹소설 &gt; 퓨전 판타지</v>
      </c>
    </row>
    <row r="5113" spans="1:48" x14ac:dyDescent="0.4">
      <c r="A5113">
        <v>2313016417</v>
      </c>
      <c r="B5113">
        <v>2313016418</v>
      </c>
      <c r="C5113" t="str">
        <f>T("얼굴 천재 교주가 되었다 2화")</f>
        <v>얼굴 천재 교주가 되었다 2화</v>
      </c>
      <c r="D5113" t="str">
        <f>T("2")</f>
        <v>2</v>
      </c>
      <c r="E5113" t="str">
        <f t="shared" si="704"/>
        <v>비고</v>
      </c>
      <c r="H5113" t="str">
        <f t="shared" si="700"/>
        <v>스토리위즈</v>
      </c>
      <c r="I5113" t="str">
        <f t="shared" si="705"/>
        <v>얼굴 천재 교주가 되었다</v>
      </c>
      <c r="J5113">
        <v>0</v>
      </c>
      <c r="K5113">
        <v>0</v>
      </c>
      <c r="L5113">
        <v>0</v>
      </c>
      <c r="M5113">
        <v>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2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T5113" t="str">
        <f t="shared" si="706"/>
        <v>9791137601345</v>
      </c>
      <c r="AV5113" t="str">
        <f t="shared" si="703"/>
        <v>판타지 웹소설 &gt; 퓨전 판타지</v>
      </c>
    </row>
    <row r="5114" spans="1:48" x14ac:dyDescent="0.4">
      <c r="A5114">
        <v>2313016417</v>
      </c>
      <c r="B5114">
        <v>2313016419</v>
      </c>
      <c r="C5114" t="str">
        <f>T("얼굴 천재 교주가 되었다 3화")</f>
        <v>얼굴 천재 교주가 되었다 3화</v>
      </c>
      <c r="D5114" t="str">
        <f>T("3")</f>
        <v>3</v>
      </c>
      <c r="E5114" t="str">
        <f t="shared" si="704"/>
        <v>비고</v>
      </c>
      <c r="H5114" t="str">
        <f t="shared" si="700"/>
        <v>스토리위즈</v>
      </c>
      <c r="I5114" t="str">
        <f t="shared" si="705"/>
        <v>얼굴 천재 교주가 되었다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T5114" t="str">
        <f t="shared" si="706"/>
        <v>9791137601345</v>
      </c>
      <c r="AV5114" t="str">
        <f t="shared" si="703"/>
        <v>판타지 웹소설 &gt; 퓨전 판타지</v>
      </c>
    </row>
    <row r="5115" spans="1:48" x14ac:dyDescent="0.4">
      <c r="A5115">
        <v>2313016417</v>
      </c>
      <c r="B5115">
        <v>2313016420</v>
      </c>
      <c r="C5115" t="str">
        <f>T("얼굴 천재 교주가 되었다 4화")</f>
        <v>얼굴 천재 교주가 되었다 4화</v>
      </c>
      <c r="D5115" t="str">
        <f>T("4")</f>
        <v>4</v>
      </c>
      <c r="E5115" t="str">
        <f t="shared" si="704"/>
        <v>비고</v>
      </c>
      <c r="H5115" t="str">
        <f t="shared" si="700"/>
        <v>스토리위즈</v>
      </c>
      <c r="I5115" t="str">
        <f t="shared" si="705"/>
        <v>얼굴 천재 교주가 되었다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T5115" t="str">
        <f t="shared" si="706"/>
        <v>9791137601345</v>
      </c>
      <c r="AV5115" t="str">
        <f t="shared" si="703"/>
        <v>판타지 웹소설 &gt; 퓨전 판타지</v>
      </c>
    </row>
    <row r="5116" spans="1:48" x14ac:dyDescent="0.4">
      <c r="A5116">
        <v>2313016417</v>
      </c>
      <c r="B5116">
        <v>2313016421</v>
      </c>
      <c r="C5116" t="str">
        <f>T("얼굴 천재 교주가 되었다 5화")</f>
        <v>얼굴 천재 교주가 되었다 5화</v>
      </c>
      <c r="D5116" t="str">
        <f>T("5")</f>
        <v>5</v>
      </c>
      <c r="E5116" t="str">
        <f t="shared" si="704"/>
        <v>비고</v>
      </c>
      <c r="H5116" t="str">
        <f t="shared" si="700"/>
        <v>스토리위즈</v>
      </c>
      <c r="I5116" t="str">
        <f t="shared" si="705"/>
        <v>얼굴 천재 교주가 되었다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T5116" t="str">
        <f t="shared" si="706"/>
        <v>9791137601345</v>
      </c>
      <c r="AV5116" t="str">
        <f t="shared" si="703"/>
        <v>판타지 웹소설 &gt; 퓨전 판타지</v>
      </c>
    </row>
    <row r="5117" spans="1:48" x14ac:dyDescent="0.4">
      <c r="A5117">
        <v>2313016417</v>
      </c>
      <c r="B5117">
        <v>2313016422</v>
      </c>
      <c r="C5117" t="str">
        <f>T("얼굴 천재 교주가 되었다 6화")</f>
        <v>얼굴 천재 교주가 되었다 6화</v>
      </c>
      <c r="D5117" t="str">
        <f>T("6")</f>
        <v>6</v>
      </c>
      <c r="E5117" t="str">
        <f t="shared" si="704"/>
        <v>비고</v>
      </c>
      <c r="H5117" t="str">
        <f t="shared" si="700"/>
        <v>스토리위즈</v>
      </c>
      <c r="I5117" t="str">
        <f t="shared" si="705"/>
        <v>얼굴 천재 교주가 되었다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T5117" t="str">
        <f t="shared" si="706"/>
        <v>9791137601345</v>
      </c>
      <c r="AV5117" t="str">
        <f t="shared" si="703"/>
        <v>판타지 웹소설 &gt; 퓨전 판타지</v>
      </c>
    </row>
    <row r="5118" spans="1:48" x14ac:dyDescent="0.4">
      <c r="A5118">
        <v>2313016417</v>
      </c>
      <c r="B5118">
        <v>2313016423</v>
      </c>
      <c r="C5118" t="str">
        <f>T("얼굴 천재 교주가 되었다 7화")</f>
        <v>얼굴 천재 교주가 되었다 7화</v>
      </c>
      <c r="D5118" t="str">
        <f>T("7")</f>
        <v>7</v>
      </c>
      <c r="E5118" t="str">
        <f t="shared" si="704"/>
        <v>비고</v>
      </c>
      <c r="H5118" t="str">
        <f t="shared" si="700"/>
        <v>스토리위즈</v>
      </c>
      <c r="I5118" t="str">
        <f t="shared" si="705"/>
        <v>얼굴 천재 교주가 되었다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T5118" t="str">
        <f t="shared" si="706"/>
        <v>9791137601345</v>
      </c>
      <c r="AV5118" t="str">
        <f t="shared" si="703"/>
        <v>판타지 웹소설 &gt; 퓨전 판타지</v>
      </c>
    </row>
    <row r="5119" spans="1:48" x14ac:dyDescent="0.4">
      <c r="A5119">
        <v>2313016417</v>
      </c>
      <c r="B5119">
        <v>2313016424</v>
      </c>
      <c r="C5119" t="str">
        <f>T("얼굴 천재 교주가 되었다 8화")</f>
        <v>얼굴 천재 교주가 되었다 8화</v>
      </c>
      <c r="D5119" t="str">
        <f>T("8")</f>
        <v>8</v>
      </c>
      <c r="E5119" t="str">
        <f t="shared" si="704"/>
        <v>비고</v>
      </c>
      <c r="H5119" t="str">
        <f t="shared" si="700"/>
        <v>스토리위즈</v>
      </c>
      <c r="I5119" t="str">
        <f t="shared" si="705"/>
        <v>얼굴 천재 교주가 되었다</v>
      </c>
      <c r="J5119">
        <v>0</v>
      </c>
      <c r="K5119">
        <v>0</v>
      </c>
      <c r="L5119">
        <v>0</v>
      </c>
      <c r="M5119">
        <v>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2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T5119" t="str">
        <f t="shared" si="706"/>
        <v>9791137601345</v>
      </c>
      <c r="AV5119" t="str">
        <f t="shared" si="703"/>
        <v>판타지 웹소설 &gt; 퓨전 판타지</v>
      </c>
    </row>
    <row r="5120" spans="1:48" x14ac:dyDescent="0.4">
      <c r="A5120">
        <v>2313016417</v>
      </c>
      <c r="B5120">
        <v>2313016425</v>
      </c>
      <c r="C5120" t="str">
        <f>T("얼굴 천재 교주가 되었다 9화")</f>
        <v>얼굴 천재 교주가 되었다 9화</v>
      </c>
      <c r="D5120" t="str">
        <f>T("9")</f>
        <v>9</v>
      </c>
      <c r="E5120" t="str">
        <f t="shared" si="704"/>
        <v>비고</v>
      </c>
      <c r="H5120" t="str">
        <f t="shared" si="700"/>
        <v>스토리위즈</v>
      </c>
      <c r="I5120" t="str">
        <f t="shared" si="705"/>
        <v>얼굴 천재 교주가 되었다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T5120" t="str">
        <f t="shared" si="706"/>
        <v>9791137601345</v>
      </c>
      <c r="AV5120" t="str">
        <f t="shared" si="703"/>
        <v>판타지 웹소설 &gt; 퓨전 판타지</v>
      </c>
    </row>
    <row r="5121" spans="1:48" x14ac:dyDescent="0.4">
      <c r="A5121">
        <v>2313016617</v>
      </c>
      <c r="B5121">
        <v>2313016617</v>
      </c>
      <c r="C5121" t="str">
        <f>T("올마스터가 된 비전서고 1화")</f>
        <v>올마스터가 된 비전서고 1화</v>
      </c>
      <c r="D5121" t="str">
        <f>T("1")</f>
        <v>1</v>
      </c>
      <c r="E5121" t="str">
        <f t="shared" ref="E5121:E5145" si="707">T("글면증")</f>
        <v>글면증</v>
      </c>
      <c r="H5121" t="str">
        <f t="shared" si="700"/>
        <v>스토리위즈</v>
      </c>
      <c r="I5121" t="str">
        <f t="shared" ref="I5121:I5145" si="708">T("올마스터가 된 비전서고")</f>
        <v>올마스터가 된 비전서고</v>
      </c>
      <c r="J5121">
        <v>0</v>
      </c>
      <c r="K5121">
        <v>0</v>
      </c>
      <c r="L5121">
        <v>0</v>
      </c>
      <c r="M5121">
        <v>8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8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T5121" t="str">
        <f t="shared" ref="AT5121:AT5145" si="709">T("9791137601314")</f>
        <v>9791137601314</v>
      </c>
      <c r="AV5121" t="str">
        <f t="shared" si="703"/>
        <v>판타지 웹소설 &gt; 퓨전 판타지</v>
      </c>
    </row>
    <row r="5122" spans="1:48" x14ac:dyDescent="0.4">
      <c r="A5122">
        <v>2313016617</v>
      </c>
      <c r="B5122">
        <v>2313016618</v>
      </c>
      <c r="C5122" t="str">
        <f>T("올마스터가 된 비전서고 2화")</f>
        <v>올마스터가 된 비전서고 2화</v>
      </c>
      <c r="D5122" t="str">
        <f>T("2")</f>
        <v>2</v>
      </c>
      <c r="E5122" t="str">
        <f t="shared" si="707"/>
        <v>글면증</v>
      </c>
      <c r="H5122" t="str">
        <f t="shared" si="700"/>
        <v>스토리위즈</v>
      </c>
      <c r="I5122" t="str">
        <f t="shared" si="708"/>
        <v>올마스터가 된 비전서고</v>
      </c>
      <c r="J5122">
        <v>0</v>
      </c>
      <c r="K5122">
        <v>0</v>
      </c>
      <c r="L5122">
        <v>0</v>
      </c>
      <c r="M5122">
        <v>6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6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T5122" t="str">
        <f t="shared" si="709"/>
        <v>9791137601314</v>
      </c>
      <c r="AV5122" t="str">
        <f t="shared" si="703"/>
        <v>판타지 웹소설 &gt; 퓨전 판타지</v>
      </c>
    </row>
    <row r="5123" spans="1:48" x14ac:dyDescent="0.4">
      <c r="A5123">
        <v>2313016617</v>
      </c>
      <c r="B5123">
        <v>2313016619</v>
      </c>
      <c r="C5123" t="str">
        <f>T("올마스터가 된 비전서고 3화")</f>
        <v>올마스터가 된 비전서고 3화</v>
      </c>
      <c r="D5123" t="str">
        <f>T("3")</f>
        <v>3</v>
      </c>
      <c r="E5123" t="str">
        <f t="shared" si="707"/>
        <v>글면증</v>
      </c>
      <c r="H5123" t="str">
        <f t="shared" si="700"/>
        <v>스토리위즈</v>
      </c>
      <c r="I5123" t="str">
        <f t="shared" si="708"/>
        <v>올마스터가 된 비전서고</v>
      </c>
      <c r="J5123">
        <v>0</v>
      </c>
      <c r="K5123">
        <v>0</v>
      </c>
      <c r="L5123">
        <v>0</v>
      </c>
      <c r="M5123">
        <v>5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5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T5123" t="str">
        <f t="shared" si="709"/>
        <v>9791137601314</v>
      </c>
      <c r="AV5123" t="str">
        <f t="shared" si="703"/>
        <v>판타지 웹소설 &gt; 퓨전 판타지</v>
      </c>
    </row>
    <row r="5124" spans="1:48" x14ac:dyDescent="0.4">
      <c r="A5124">
        <v>2313016617</v>
      </c>
      <c r="B5124">
        <v>2313016620</v>
      </c>
      <c r="C5124" t="str">
        <f>T("올마스터가 된 비전서고 4화")</f>
        <v>올마스터가 된 비전서고 4화</v>
      </c>
      <c r="D5124" t="str">
        <f>T("4")</f>
        <v>4</v>
      </c>
      <c r="E5124" t="str">
        <f t="shared" si="707"/>
        <v>글면증</v>
      </c>
      <c r="H5124" t="str">
        <f t="shared" si="700"/>
        <v>스토리위즈</v>
      </c>
      <c r="I5124" t="str">
        <f t="shared" si="708"/>
        <v>올마스터가 된 비전서고</v>
      </c>
      <c r="J5124">
        <v>0</v>
      </c>
      <c r="K5124">
        <v>0</v>
      </c>
      <c r="L5124">
        <v>0</v>
      </c>
      <c r="M5124">
        <v>5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5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T5124" t="str">
        <f t="shared" si="709"/>
        <v>9791137601314</v>
      </c>
      <c r="AV5124" t="str">
        <f t="shared" si="703"/>
        <v>판타지 웹소설 &gt; 퓨전 판타지</v>
      </c>
    </row>
    <row r="5125" spans="1:48" x14ac:dyDescent="0.4">
      <c r="A5125">
        <v>2313016617</v>
      </c>
      <c r="B5125">
        <v>2313016621</v>
      </c>
      <c r="C5125" t="str">
        <f>T("올마스터가 된 비전서고 5화")</f>
        <v>올마스터가 된 비전서고 5화</v>
      </c>
      <c r="D5125" t="str">
        <f>T("5")</f>
        <v>5</v>
      </c>
      <c r="E5125" t="str">
        <f t="shared" si="707"/>
        <v>글면증</v>
      </c>
      <c r="H5125" t="str">
        <f t="shared" si="700"/>
        <v>스토리위즈</v>
      </c>
      <c r="I5125" t="str">
        <f t="shared" si="708"/>
        <v>올마스터가 된 비전서고</v>
      </c>
      <c r="J5125">
        <v>0</v>
      </c>
      <c r="K5125">
        <v>0</v>
      </c>
      <c r="L5125">
        <v>0</v>
      </c>
      <c r="M5125">
        <v>5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5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T5125" t="str">
        <f t="shared" si="709"/>
        <v>9791137601314</v>
      </c>
      <c r="AV5125" t="str">
        <f t="shared" si="703"/>
        <v>판타지 웹소설 &gt; 퓨전 판타지</v>
      </c>
    </row>
    <row r="5126" spans="1:48" x14ac:dyDescent="0.4">
      <c r="A5126">
        <v>2313016617</v>
      </c>
      <c r="B5126">
        <v>2313016622</v>
      </c>
      <c r="C5126" t="str">
        <f>T("올마스터가 된 비전서고 6화")</f>
        <v>올마스터가 된 비전서고 6화</v>
      </c>
      <c r="D5126" t="str">
        <f>T("6")</f>
        <v>6</v>
      </c>
      <c r="E5126" t="str">
        <f t="shared" si="707"/>
        <v>글면증</v>
      </c>
      <c r="H5126" t="str">
        <f t="shared" si="700"/>
        <v>스토리위즈</v>
      </c>
      <c r="I5126" t="str">
        <f t="shared" si="708"/>
        <v>올마스터가 된 비전서고</v>
      </c>
      <c r="J5126">
        <v>0</v>
      </c>
      <c r="K5126">
        <v>0</v>
      </c>
      <c r="L5126">
        <v>0</v>
      </c>
      <c r="M5126">
        <v>6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6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T5126" t="str">
        <f t="shared" si="709"/>
        <v>9791137601314</v>
      </c>
      <c r="AV5126" t="str">
        <f t="shared" si="703"/>
        <v>판타지 웹소설 &gt; 퓨전 판타지</v>
      </c>
    </row>
    <row r="5127" spans="1:48" x14ac:dyDescent="0.4">
      <c r="A5127">
        <v>2313016617</v>
      </c>
      <c r="B5127">
        <v>2313016623</v>
      </c>
      <c r="C5127" t="str">
        <f>T("올마스터가 된 비전서고 7화")</f>
        <v>올마스터가 된 비전서고 7화</v>
      </c>
      <c r="D5127" t="str">
        <f>T("7")</f>
        <v>7</v>
      </c>
      <c r="E5127" t="str">
        <f t="shared" si="707"/>
        <v>글면증</v>
      </c>
      <c r="H5127" t="str">
        <f t="shared" si="700"/>
        <v>스토리위즈</v>
      </c>
      <c r="I5127" t="str">
        <f t="shared" si="708"/>
        <v>올마스터가 된 비전서고</v>
      </c>
      <c r="J5127">
        <v>0</v>
      </c>
      <c r="K5127">
        <v>0</v>
      </c>
      <c r="L5127">
        <v>0</v>
      </c>
      <c r="M5127">
        <v>6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6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T5127" t="str">
        <f t="shared" si="709"/>
        <v>9791137601314</v>
      </c>
      <c r="AV5127" t="str">
        <f t="shared" si="703"/>
        <v>판타지 웹소설 &gt; 퓨전 판타지</v>
      </c>
    </row>
    <row r="5128" spans="1:48" x14ac:dyDescent="0.4">
      <c r="A5128">
        <v>2313016617</v>
      </c>
      <c r="B5128">
        <v>2313016624</v>
      </c>
      <c r="C5128" t="str">
        <f>T("올마스터가 된 비전서고 8화")</f>
        <v>올마스터가 된 비전서고 8화</v>
      </c>
      <c r="D5128" t="str">
        <f>T("8")</f>
        <v>8</v>
      </c>
      <c r="E5128" t="str">
        <f t="shared" si="707"/>
        <v>글면증</v>
      </c>
      <c r="H5128" t="str">
        <f t="shared" si="700"/>
        <v>스토리위즈</v>
      </c>
      <c r="I5128" t="str">
        <f t="shared" si="708"/>
        <v>올마스터가 된 비전서고</v>
      </c>
      <c r="J5128">
        <v>0</v>
      </c>
      <c r="K5128">
        <v>0</v>
      </c>
      <c r="L5128">
        <v>0</v>
      </c>
      <c r="M5128">
        <v>6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6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T5128" t="str">
        <f t="shared" si="709"/>
        <v>9791137601314</v>
      </c>
      <c r="AV5128" t="str">
        <f t="shared" si="703"/>
        <v>판타지 웹소설 &gt; 퓨전 판타지</v>
      </c>
    </row>
    <row r="5129" spans="1:48" x14ac:dyDescent="0.4">
      <c r="A5129">
        <v>2313016617</v>
      </c>
      <c r="B5129">
        <v>2313016625</v>
      </c>
      <c r="C5129" t="str">
        <f>T("올마스터가 된 비전서고 9화")</f>
        <v>올마스터가 된 비전서고 9화</v>
      </c>
      <c r="D5129" t="str">
        <f>T("9")</f>
        <v>9</v>
      </c>
      <c r="E5129" t="str">
        <f t="shared" si="707"/>
        <v>글면증</v>
      </c>
      <c r="H5129" t="str">
        <f t="shared" si="700"/>
        <v>스토리위즈</v>
      </c>
      <c r="I5129" t="str">
        <f t="shared" si="708"/>
        <v>올마스터가 된 비전서고</v>
      </c>
      <c r="J5129">
        <v>0</v>
      </c>
      <c r="K5129">
        <v>0</v>
      </c>
      <c r="L5129">
        <v>0</v>
      </c>
      <c r="M5129">
        <v>6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6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T5129" t="str">
        <f t="shared" si="709"/>
        <v>9791137601314</v>
      </c>
      <c r="AV5129" t="str">
        <f t="shared" si="703"/>
        <v>판타지 웹소설 &gt; 퓨전 판타지</v>
      </c>
    </row>
    <row r="5130" spans="1:48" x14ac:dyDescent="0.4">
      <c r="A5130">
        <v>2313016617</v>
      </c>
      <c r="B5130">
        <v>2313016626</v>
      </c>
      <c r="C5130" t="str">
        <f>T("올마스터가 된 비전서고 10화")</f>
        <v>올마스터가 된 비전서고 10화</v>
      </c>
      <c r="D5130" t="str">
        <f>T("10")</f>
        <v>10</v>
      </c>
      <c r="E5130" t="str">
        <f t="shared" si="707"/>
        <v>글면증</v>
      </c>
      <c r="H5130" t="str">
        <f t="shared" si="700"/>
        <v>스토리위즈</v>
      </c>
      <c r="I5130" t="str">
        <f t="shared" si="708"/>
        <v>올마스터가 된 비전서고</v>
      </c>
      <c r="J5130">
        <v>0</v>
      </c>
      <c r="K5130">
        <v>0</v>
      </c>
      <c r="L5130">
        <v>0</v>
      </c>
      <c r="M5130">
        <v>6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6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T5130" t="str">
        <f t="shared" si="709"/>
        <v>9791137601314</v>
      </c>
      <c r="AV5130" t="str">
        <f t="shared" si="703"/>
        <v>판타지 웹소설 &gt; 퓨전 판타지</v>
      </c>
    </row>
    <row r="5131" spans="1:48" x14ac:dyDescent="0.4">
      <c r="A5131">
        <v>2313016617</v>
      </c>
      <c r="B5131">
        <v>2313016627</v>
      </c>
      <c r="C5131" t="str">
        <f>T("올마스터가 된 비전서고 11화")</f>
        <v>올마스터가 된 비전서고 11화</v>
      </c>
      <c r="D5131" t="str">
        <f>T("11")</f>
        <v>11</v>
      </c>
      <c r="E5131" t="str">
        <f t="shared" si="707"/>
        <v>글면증</v>
      </c>
      <c r="H5131" t="str">
        <f t="shared" si="700"/>
        <v>스토리위즈</v>
      </c>
      <c r="I5131" t="str">
        <f t="shared" si="708"/>
        <v>올마스터가 된 비전서고</v>
      </c>
      <c r="J5131">
        <v>0</v>
      </c>
      <c r="K5131">
        <v>0</v>
      </c>
      <c r="L5131">
        <v>0</v>
      </c>
      <c r="M5131">
        <v>6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6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T5131" t="str">
        <f t="shared" si="709"/>
        <v>9791137601314</v>
      </c>
      <c r="AV5131" t="str">
        <f t="shared" si="703"/>
        <v>판타지 웹소설 &gt; 퓨전 판타지</v>
      </c>
    </row>
    <row r="5132" spans="1:48" x14ac:dyDescent="0.4">
      <c r="A5132">
        <v>2313016617</v>
      </c>
      <c r="B5132">
        <v>2313016628</v>
      </c>
      <c r="C5132" t="str">
        <f>T("올마스터가 된 비전서고 12화")</f>
        <v>올마스터가 된 비전서고 12화</v>
      </c>
      <c r="D5132" t="str">
        <f>T("12")</f>
        <v>12</v>
      </c>
      <c r="E5132" t="str">
        <f t="shared" si="707"/>
        <v>글면증</v>
      </c>
      <c r="H5132" t="str">
        <f t="shared" si="700"/>
        <v>스토리위즈</v>
      </c>
      <c r="I5132" t="str">
        <f t="shared" si="708"/>
        <v>올마스터가 된 비전서고</v>
      </c>
      <c r="J5132">
        <v>0</v>
      </c>
      <c r="K5132">
        <v>0</v>
      </c>
      <c r="L5132">
        <v>0</v>
      </c>
      <c r="M5132">
        <v>6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6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T5132" t="str">
        <f t="shared" si="709"/>
        <v>9791137601314</v>
      </c>
      <c r="AV5132" t="str">
        <f t="shared" si="703"/>
        <v>판타지 웹소설 &gt; 퓨전 판타지</v>
      </c>
    </row>
    <row r="5133" spans="1:48" x14ac:dyDescent="0.4">
      <c r="A5133">
        <v>2313016617</v>
      </c>
      <c r="B5133">
        <v>2313016629</v>
      </c>
      <c r="C5133" t="str">
        <f>T("올마스터가 된 비전서고 13화")</f>
        <v>올마스터가 된 비전서고 13화</v>
      </c>
      <c r="D5133" t="str">
        <f>T("13")</f>
        <v>13</v>
      </c>
      <c r="E5133" t="str">
        <f t="shared" si="707"/>
        <v>글면증</v>
      </c>
      <c r="H5133" t="str">
        <f t="shared" si="700"/>
        <v>스토리위즈</v>
      </c>
      <c r="I5133" t="str">
        <f t="shared" si="708"/>
        <v>올마스터가 된 비전서고</v>
      </c>
      <c r="J5133">
        <v>0</v>
      </c>
      <c r="K5133">
        <v>0</v>
      </c>
      <c r="L5133">
        <v>0</v>
      </c>
      <c r="M5133">
        <v>6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6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T5133" t="str">
        <f t="shared" si="709"/>
        <v>9791137601314</v>
      </c>
      <c r="AV5133" t="str">
        <f t="shared" si="703"/>
        <v>판타지 웹소설 &gt; 퓨전 판타지</v>
      </c>
    </row>
    <row r="5134" spans="1:48" x14ac:dyDescent="0.4">
      <c r="A5134">
        <v>2313016617</v>
      </c>
      <c r="B5134">
        <v>2313016630</v>
      </c>
      <c r="C5134" t="str">
        <f>T("올마스터가 된 비전서고 14화")</f>
        <v>올마스터가 된 비전서고 14화</v>
      </c>
      <c r="D5134" t="str">
        <f>T("14")</f>
        <v>14</v>
      </c>
      <c r="E5134" t="str">
        <f t="shared" si="707"/>
        <v>글면증</v>
      </c>
      <c r="H5134" t="str">
        <f t="shared" si="700"/>
        <v>스토리위즈</v>
      </c>
      <c r="I5134" t="str">
        <f t="shared" si="708"/>
        <v>올마스터가 된 비전서고</v>
      </c>
      <c r="J5134">
        <v>0</v>
      </c>
      <c r="K5134">
        <v>0</v>
      </c>
      <c r="L5134">
        <v>0</v>
      </c>
      <c r="M5134">
        <v>5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5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T5134" t="str">
        <f t="shared" si="709"/>
        <v>9791137601314</v>
      </c>
      <c r="AV5134" t="str">
        <f t="shared" si="703"/>
        <v>판타지 웹소설 &gt; 퓨전 판타지</v>
      </c>
    </row>
    <row r="5135" spans="1:48" x14ac:dyDescent="0.4">
      <c r="A5135">
        <v>2313016617</v>
      </c>
      <c r="B5135">
        <v>2313016631</v>
      </c>
      <c r="C5135" t="str">
        <f>T("올마스터가 된 비전서고 15화")</f>
        <v>올마스터가 된 비전서고 15화</v>
      </c>
      <c r="D5135" t="str">
        <f>T("15")</f>
        <v>15</v>
      </c>
      <c r="E5135" t="str">
        <f t="shared" si="707"/>
        <v>글면증</v>
      </c>
      <c r="H5135" t="str">
        <f t="shared" si="700"/>
        <v>스토리위즈</v>
      </c>
      <c r="I5135" t="str">
        <f t="shared" si="708"/>
        <v>올마스터가 된 비전서고</v>
      </c>
      <c r="J5135">
        <v>0</v>
      </c>
      <c r="K5135">
        <v>0</v>
      </c>
      <c r="L5135">
        <v>0</v>
      </c>
      <c r="M5135">
        <v>5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5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T5135" t="str">
        <f t="shared" si="709"/>
        <v>9791137601314</v>
      </c>
      <c r="AV5135" t="str">
        <f t="shared" si="703"/>
        <v>판타지 웹소설 &gt; 퓨전 판타지</v>
      </c>
    </row>
    <row r="5136" spans="1:48" x14ac:dyDescent="0.4">
      <c r="A5136">
        <v>2313016617</v>
      </c>
      <c r="B5136">
        <v>2313016632</v>
      </c>
      <c r="C5136" t="str">
        <f>T("올마스터가 된 비전서고 16화")</f>
        <v>올마스터가 된 비전서고 16화</v>
      </c>
      <c r="D5136" t="str">
        <f>T("16")</f>
        <v>16</v>
      </c>
      <c r="E5136" t="str">
        <f t="shared" si="707"/>
        <v>글면증</v>
      </c>
      <c r="H5136" t="str">
        <f t="shared" si="700"/>
        <v>스토리위즈</v>
      </c>
      <c r="I5136" t="str">
        <f t="shared" si="708"/>
        <v>올마스터가 된 비전서고</v>
      </c>
      <c r="J5136">
        <v>0</v>
      </c>
      <c r="K5136">
        <v>0</v>
      </c>
      <c r="L5136">
        <v>0</v>
      </c>
      <c r="M5136">
        <v>5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5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T5136" t="str">
        <f t="shared" si="709"/>
        <v>9791137601314</v>
      </c>
      <c r="AV5136" t="str">
        <f t="shared" si="703"/>
        <v>판타지 웹소설 &gt; 퓨전 판타지</v>
      </c>
    </row>
    <row r="5137" spans="1:48" x14ac:dyDescent="0.4">
      <c r="A5137">
        <v>2313016617</v>
      </c>
      <c r="B5137">
        <v>2313016633</v>
      </c>
      <c r="C5137" t="str">
        <f>T("올마스터가 된 비전서고 17화")</f>
        <v>올마스터가 된 비전서고 17화</v>
      </c>
      <c r="D5137" t="str">
        <f>T("17")</f>
        <v>17</v>
      </c>
      <c r="E5137" t="str">
        <f t="shared" si="707"/>
        <v>글면증</v>
      </c>
      <c r="H5137" t="str">
        <f t="shared" si="700"/>
        <v>스토리위즈</v>
      </c>
      <c r="I5137" t="str">
        <f t="shared" si="708"/>
        <v>올마스터가 된 비전서고</v>
      </c>
      <c r="J5137">
        <v>0</v>
      </c>
      <c r="K5137">
        <v>0</v>
      </c>
      <c r="L5137">
        <v>0</v>
      </c>
      <c r="M5137">
        <v>5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5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T5137" t="str">
        <f t="shared" si="709"/>
        <v>9791137601314</v>
      </c>
      <c r="AV5137" t="str">
        <f t="shared" si="703"/>
        <v>판타지 웹소설 &gt; 퓨전 판타지</v>
      </c>
    </row>
    <row r="5138" spans="1:48" x14ac:dyDescent="0.4">
      <c r="A5138">
        <v>2313016617</v>
      </c>
      <c r="B5138">
        <v>2313016634</v>
      </c>
      <c r="C5138" t="str">
        <f>T("올마스터가 된 비전서고 18화")</f>
        <v>올마스터가 된 비전서고 18화</v>
      </c>
      <c r="D5138" t="str">
        <f>T("18")</f>
        <v>18</v>
      </c>
      <c r="E5138" t="str">
        <f t="shared" si="707"/>
        <v>글면증</v>
      </c>
      <c r="H5138" t="str">
        <f t="shared" si="700"/>
        <v>스토리위즈</v>
      </c>
      <c r="I5138" t="str">
        <f t="shared" si="708"/>
        <v>올마스터가 된 비전서고</v>
      </c>
      <c r="J5138">
        <v>0</v>
      </c>
      <c r="K5138">
        <v>0</v>
      </c>
      <c r="L5138">
        <v>0</v>
      </c>
      <c r="M5138">
        <v>5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5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T5138" t="str">
        <f t="shared" si="709"/>
        <v>9791137601314</v>
      </c>
      <c r="AV5138" t="str">
        <f t="shared" si="703"/>
        <v>판타지 웹소설 &gt; 퓨전 판타지</v>
      </c>
    </row>
    <row r="5139" spans="1:48" x14ac:dyDescent="0.4">
      <c r="A5139">
        <v>2313016617</v>
      </c>
      <c r="B5139">
        <v>2313016635</v>
      </c>
      <c r="C5139" t="str">
        <f>T("올마스터가 된 비전서고 19화")</f>
        <v>올마스터가 된 비전서고 19화</v>
      </c>
      <c r="D5139" t="str">
        <f>T("19")</f>
        <v>19</v>
      </c>
      <c r="E5139" t="str">
        <f t="shared" si="707"/>
        <v>글면증</v>
      </c>
      <c r="H5139" t="str">
        <f t="shared" si="700"/>
        <v>스토리위즈</v>
      </c>
      <c r="I5139" t="str">
        <f t="shared" si="708"/>
        <v>올마스터가 된 비전서고</v>
      </c>
      <c r="J5139">
        <v>0</v>
      </c>
      <c r="K5139">
        <v>0</v>
      </c>
      <c r="L5139">
        <v>0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5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T5139" t="str">
        <f t="shared" si="709"/>
        <v>9791137601314</v>
      </c>
      <c r="AV5139" t="str">
        <f t="shared" si="703"/>
        <v>판타지 웹소설 &gt; 퓨전 판타지</v>
      </c>
    </row>
    <row r="5140" spans="1:48" x14ac:dyDescent="0.4">
      <c r="A5140">
        <v>2313016617</v>
      </c>
      <c r="B5140">
        <v>2313016636</v>
      </c>
      <c r="C5140" t="str">
        <f>T("올마스터가 된 비전서고 20화")</f>
        <v>올마스터가 된 비전서고 20화</v>
      </c>
      <c r="D5140" t="str">
        <f>T("20")</f>
        <v>20</v>
      </c>
      <c r="E5140" t="str">
        <f t="shared" si="707"/>
        <v>글면증</v>
      </c>
      <c r="H5140" t="str">
        <f t="shared" si="700"/>
        <v>스토리위즈</v>
      </c>
      <c r="I5140" t="str">
        <f t="shared" si="708"/>
        <v>올마스터가 된 비전서고</v>
      </c>
      <c r="J5140">
        <v>0</v>
      </c>
      <c r="K5140">
        <v>0</v>
      </c>
      <c r="L5140">
        <v>0</v>
      </c>
      <c r="M5140">
        <v>4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4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T5140" t="str">
        <f t="shared" si="709"/>
        <v>9791137601314</v>
      </c>
      <c r="AV5140" t="str">
        <f t="shared" si="703"/>
        <v>판타지 웹소설 &gt; 퓨전 판타지</v>
      </c>
    </row>
    <row r="5141" spans="1:48" x14ac:dyDescent="0.4">
      <c r="A5141">
        <v>2313016617</v>
      </c>
      <c r="B5141">
        <v>2313016637</v>
      </c>
      <c r="C5141" t="str">
        <f>T("올마스터가 된 비전서고 21화")</f>
        <v>올마스터가 된 비전서고 21화</v>
      </c>
      <c r="D5141" t="str">
        <f>T("21")</f>
        <v>21</v>
      </c>
      <c r="E5141" t="str">
        <f t="shared" si="707"/>
        <v>글면증</v>
      </c>
      <c r="H5141" t="str">
        <f t="shared" si="700"/>
        <v>스토리위즈</v>
      </c>
      <c r="I5141" t="str">
        <f t="shared" si="708"/>
        <v>올마스터가 된 비전서고</v>
      </c>
      <c r="J5141">
        <v>0</v>
      </c>
      <c r="K5141">
        <v>0</v>
      </c>
      <c r="L5141">
        <v>0</v>
      </c>
      <c r="M5141">
        <v>4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4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T5141" t="str">
        <f t="shared" si="709"/>
        <v>9791137601314</v>
      </c>
      <c r="AV5141" t="str">
        <f t="shared" si="703"/>
        <v>판타지 웹소설 &gt; 퓨전 판타지</v>
      </c>
    </row>
    <row r="5142" spans="1:48" x14ac:dyDescent="0.4">
      <c r="A5142">
        <v>2313016617</v>
      </c>
      <c r="B5142">
        <v>2313016638</v>
      </c>
      <c r="C5142" t="str">
        <f>T("올마스터가 된 비전서고 22화")</f>
        <v>올마스터가 된 비전서고 22화</v>
      </c>
      <c r="D5142" t="str">
        <f>T("22")</f>
        <v>22</v>
      </c>
      <c r="E5142" t="str">
        <f t="shared" si="707"/>
        <v>글면증</v>
      </c>
      <c r="H5142" t="str">
        <f t="shared" si="700"/>
        <v>스토리위즈</v>
      </c>
      <c r="I5142" t="str">
        <f t="shared" si="708"/>
        <v>올마스터가 된 비전서고</v>
      </c>
      <c r="J5142">
        <v>0</v>
      </c>
      <c r="K5142">
        <v>0</v>
      </c>
      <c r="L5142">
        <v>0</v>
      </c>
      <c r="M5142">
        <v>4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4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T5142" t="str">
        <f t="shared" si="709"/>
        <v>9791137601314</v>
      </c>
      <c r="AV5142" t="str">
        <f t="shared" si="703"/>
        <v>판타지 웹소설 &gt; 퓨전 판타지</v>
      </c>
    </row>
    <row r="5143" spans="1:48" x14ac:dyDescent="0.4">
      <c r="A5143">
        <v>2313016617</v>
      </c>
      <c r="B5143">
        <v>2313016639</v>
      </c>
      <c r="C5143" t="str">
        <f>T("올마스터가 된 비전서고 23화")</f>
        <v>올마스터가 된 비전서고 23화</v>
      </c>
      <c r="D5143" t="str">
        <f>T("23")</f>
        <v>23</v>
      </c>
      <c r="E5143" t="str">
        <f t="shared" si="707"/>
        <v>글면증</v>
      </c>
      <c r="H5143" t="str">
        <f t="shared" si="700"/>
        <v>스토리위즈</v>
      </c>
      <c r="I5143" t="str">
        <f t="shared" si="708"/>
        <v>올마스터가 된 비전서고</v>
      </c>
      <c r="J5143">
        <v>0</v>
      </c>
      <c r="K5143">
        <v>0</v>
      </c>
      <c r="L5143">
        <v>0</v>
      </c>
      <c r="M5143">
        <v>4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4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T5143" t="str">
        <f t="shared" si="709"/>
        <v>9791137601314</v>
      </c>
      <c r="AV5143" t="str">
        <f t="shared" si="703"/>
        <v>판타지 웹소설 &gt; 퓨전 판타지</v>
      </c>
    </row>
    <row r="5144" spans="1:48" x14ac:dyDescent="0.4">
      <c r="A5144">
        <v>2313016617</v>
      </c>
      <c r="B5144">
        <v>2313016640</v>
      </c>
      <c r="C5144" t="str">
        <f>T("올마스터가 된 비전서고 24화")</f>
        <v>올마스터가 된 비전서고 24화</v>
      </c>
      <c r="D5144" t="str">
        <f>T("24")</f>
        <v>24</v>
      </c>
      <c r="E5144" t="str">
        <f t="shared" si="707"/>
        <v>글면증</v>
      </c>
      <c r="H5144" t="str">
        <f t="shared" si="700"/>
        <v>스토리위즈</v>
      </c>
      <c r="I5144" t="str">
        <f t="shared" si="708"/>
        <v>올마스터가 된 비전서고</v>
      </c>
      <c r="J5144">
        <v>0</v>
      </c>
      <c r="K5144">
        <v>0</v>
      </c>
      <c r="L5144">
        <v>0</v>
      </c>
      <c r="M5144">
        <v>4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4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T5144" t="str">
        <f t="shared" si="709"/>
        <v>9791137601314</v>
      </c>
      <c r="AV5144" t="str">
        <f t="shared" si="703"/>
        <v>판타지 웹소설 &gt; 퓨전 판타지</v>
      </c>
    </row>
    <row r="5145" spans="1:48" x14ac:dyDescent="0.4">
      <c r="A5145">
        <v>2313016617</v>
      </c>
      <c r="B5145">
        <v>2313016641</v>
      </c>
      <c r="C5145" t="str">
        <f>T("올마스터가 된 비전서고 25화")</f>
        <v>올마스터가 된 비전서고 25화</v>
      </c>
      <c r="D5145" t="str">
        <f>T("25")</f>
        <v>25</v>
      </c>
      <c r="E5145" t="str">
        <f t="shared" si="707"/>
        <v>글면증</v>
      </c>
      <c r="H5145" t="str">
        <f t="shared" si="700"/>
        <v>스토리위즈</v>
      </c>
      <c r="I5145" t="str">
        <f t="shared" si="708"/>
        <v>올마스터가 된 비전서고</v>
      </c>
      <c r="J5145">
        <v>0</v>
      </c>
      <c r="K5145">
        <v>0</v>
      </c>
      <c r="L5145">
        <v>0</v>
      </c>
      <c r="M5145">
        <v>4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4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T5145" t="str">
        <f t="shared" si="709"/>
        <v>9791137601314</v>
      </c>
      <c r="AV5145" t="str">
        <f t="shared" si="703"/>
        <v>판타지 웹소설 &gt; 퓨전 판타지</v>
      </c>
    </row>
    <row r="5146" spans="1:48" x14ac:dyDescent="0.4">
      <c r="A5146">
        <v>2313016817</v>
      </c>
      <c r="B5146">
        <v>2313016817</v>
      </c>
      <c r="C5146" t="str">
        <f>T("[e북]원코인 게이머 아포칼립스 1권")</f>
        <v>[e북]원코인 게이머 아포칼립스 1권</v>
      </c>
      <c r="D5146" t="str">
        <f>T("1")</f>
        <v>1</v>
      </c>
      <c r="E5146" t="str">
        <f>T("이한애비")</f>
        <v>이한애비</v>
      </c>
      <c r="H5146" t="str">
        <f t="shared" si="700"/>
        <v>스토리위즈</v>
      </c>
      <c r="I5146" t="str">
        <f>T("[e북]원코인 게이머 아포칼립스")</f>
        <v>[e북]원코인 게이머 아포칼립스</v>
      </c>
      <c r="J5146">
        <v>0</v>
      </c>
      <c r="K5146">
        <v>0</v>
      </c>
      <c r="L5146">
        <v>0</v>
      </c>
      <c r="M5146">
        <v>13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13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R5146" t="str">
        <f>T("0000000000000")</f>
        <v>0000000000000</v>
      </c>
      <c r="AT5146" t="str">
        <f>T("9791137603998")</f>
        <v>9791137603998</v>
      </c>
      <c r="AV5146" t="str">
        <f>T("판타지 e북 &gt; 현대 판타지")</f>
        <v>판타지 e북 &gt; 현대 판타지</v>
      </c>
    </row>
    <row r="5147" spans="1:48" x14ac:dyDescent="0.4">
      <c r="A5147">
        <v>2313017007</v>
      </c>
      <c r="B5147">
        <v>2313017007</v>
      </c>
      <c r="C5147" t="str">
        <f>T("[e북]앙팡테리블 1권")</f>
        <v>[e북]앙팡테리블 1권</v>
      </c>
      <c r="D5147" t="str">
        <f>T("1")</f>
        <v>1</v>
      </c>
      <c r="E5147" t="str">
        <f>T("쇠렌센")</f>
        <v>쇠렌센</v>
      </c>
      <c r="H5147" t="str">
        <f>T("도서출판 태랑")</f>
        <v>도서출판 태랑</v>
      </c>
      <c r="I5147" t="str">
        <f>T("[e북]앙팡테리블")</f>
        <v>[e북]앙팡테리블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T5147" t="str">
        <f>T("9791164371457")</f>
        <v>9791164371457</v>
      </c>
      <c r="AV5147" t="str">
        <f>T("판타지 e북 &gt; 정통 판타지")</f>
        <v>판타지 e북 &gt; 정통 판타지</v>
      </c>
    </row>
    <row r="5148" spans="1:48" x14ac:dyDescent="0.4">
      <c r="A5148">
        <v>2313017163</v>
      </c>
      <c r="B5148">
        <v>2313017163</v>
      </c>
      <c r="C5148" t="str">
        <f>T("친절하기는 얼어 죽을 프롤로그")</f>
        <v>친절하기는 얼어 죽을 프롤로그</v>
      </c>
      <c r="D5148" t="str">
        <f>T("1")</f>
        <v>1</v>
      </c>
      <c r="E5148" t="str">
        <f>T("솜목화")</f>
        <v>솜목화</v>
      </c>
      <c r="H5148" t="str">
        <f>T("블레슈")</f>
        <v>블레슈</v>
      </c>
      <c r="I5148" t="str">
        <f>T("친절하기는 얼어 죽을")</f>
        <v>친절하기는 얼어 죽을</v>
      </c>
      <c r="J5148">
        <v>0</v>
      </c>
      <c r="K5148">
        <v>0</v>
      </c>
      <c r="L5148">
        <v>0</v>
      </c>
      <c r="M5148">
        <v>3125</v>
      </c>
      <c r="N5148">
        <v>0</v>
      </c>
      <c r="O5148">
        <v>0</v>
      </c>
      <c r="P5148">
        <v>522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16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3647</v>
      </c>
      <c r="AI5148">
        <v>0</v>
      </c>
      <c r="AJ5148">
        <v>16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R5148" t="str">
        <f>T("0000000000000")</f>
        <v>0000000000000</v>
      </c>
      <c r="AT5148" t="str">
        <f>T("9791137604131")</f>
        <v>9791137604131</v>
      </c>
      <c r="AV5148" t="str">
        <f>T("로맨스 웹소설 &gt; 현대물")</f>
        <v>로맨스 웹소설 &gt; 현대물</v>
      </c>
    </row>
    <row r="5149" spans="1:48" x14ac:dyDescent="0.4">
      <c r="A5149">
        <v>2313017163</v>
      </c>
      <c r="B5149">
        <v>2313017164</v>
      </c>
      <c r="C5149" t="str">
        <f>T("친절하기는 얼어 죽을 1화")</f>
        <v>친절하기는 얼어 죽을 1화</v>
      </c>
      <c r="D5149" t="str">
        <f>T("2")</f>
        <v>2</v>
      </c>
      <c r="E5149" t="str">
        <f>T("솜목화")</f>
        <v>솜목화</v>
      </c>
      <c r="H5149" t="str">
        <f>T("블레슈")</f>
        <v>블레슈</v>
      </c>
      <c r="I5149" t="str">
        <f>T("친절하기는 얼어 죽을")</f>
        <v>친절하기는 얼어 죽을</v>
      </c>
      <c r="J5149">
        <v>0</v>
      </c>
      <c r="K5149">
        <v>0</v>
      </c>
      <c r="L5149">
        <v>0</v>
      </c>
      <c r="M5149">
        <v>2898</v>
      </c>
      <c r="N5149">
        <v>0</v>
      </c>
      <c r="O5149">
        <v>0</v>
      </c>
      <c r="P5149">
        <v>462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16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3360</v>
      </c>
      <c r="AI5149">
        <v>0</v>
      </c>
      <c r="AJ5149">
        <v>16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R5149" t="str">
        <f>T("0000000000000")</f>
        <v>0000000000000</v>
      </c>
      <c r="AT5149" t="str">
        <f>T("9791137604131")</f>
        <v>9791137604131</v>
      </c>
      <c r="AV5149" t="str">
        <f>T("로맨스 웹소설 &gt; 현대물")</f>
        <v>로맨스 웹소설 &gt; 현대물</v>
      </c>
    </row>
    <row r="5150" spans="1:48" x14ac:dyDescent="0.4">
      <c r="A5150">
        <v>2313017163</v>
      </c>
      <c r="B5150">
        <v>2313017165</v>
      </c>
      <c r="C5150" t="str">
        <f>T("친절하기는 얼어 죽을 2화")</f>
        <v>친절하기는 얼어 죽을 2화</v>
      </c>
      <c r="D5150" t="str">
        <f>T("3")</f>
        <v>3</v>
      </c>
      <c r="E5150" t="str">
        <f>T("솜목화")</f>
        <v>솜목화</v>
      </c>
      <c r="H5150" t="str">
        <f>T("블레슈")</f>
        <v>블레슈</v>
      </c>
      <c r="I5150" t="str">
        <f>T("친절하기는 얼어 죽을")</f>
        <v>친절하기는 얼어 죽을</v>
      </c>
      <c r="J5150">
        <v>0</v>
      </c>
      <c r="K5150">
        <v>0</v>
      </c>
      <c r="L5150">
        <v>0</v>
      </c>
      <c r="M5150">
        <v>2714</v>
      </c>
      <c r="N5150">
        <v>0</v>
      </c>
      <c r="O5150">
        <v>0</v>
      </c>
      <c r="P5150">
        <v>451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3165</v>
      </c>
      <c r="AI5150">
        <v>0</v>
      </c>
      <c r="AJ5150">
        <v>16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R5150" t="str">
        <f>T("0000000000000")</f>
        <v>0000000000000</v>
      </c>
      <c r="AT5150" t="str">
        <f>T("9791137604131")</f>
        <v>9791137604131</v>
      </c>
      <c r="AV5150" t="str">
        <f>T("로맨스 웹소설 &gt; 현대물")</f>
        <v>로맨스 웹소설 &gt; 현대물</v>
      </c>
    </row>
    <row r="5151" spans="1:48" x14ac:dyDescent="0.4">
      <c r="A5151">
        <v>2313017252</v>
      </c>
      <c r="B5151">
        <v>2313017252</v>
      </c>
      <c r="C5151" t="str">
        <f>T("신들의 알바나라 1화")</f>
        <v>신들의 알바나라 1화</v>
      </c>
      <c r="D5151" t="str">
        <f>T("1")</f>
        <v>1</v>
      </c>
      <c r="E5151" t="str">
        <f t="shared" ref="E5151:E5175" si="710">T("갓띵작")</f>
        <v>갓띵작</v>
      </c>
      <c r="H5151" t="str">
        <f t="shared" ref="H5151:H5182" si="711">T("스토리위즈")</f>
        <v>스토리위즈</v>
      </c>
      <c r="I5151" t="str">
        <f t="shared" ref="I5151:I5175" si="712">T("신들의 알바나라")</f>
        <v>신들의 알바나라</v>
      </c>
      <c r="J5151">
        <v>0</v>
      </c>
      <c r="K5151">
        <v>0</v>
      </c>
      <c r="L5151">
        <v>0</v>
      </c>
      <c r="M5151">
        <v>10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T5151" t="str">
        <f t="shared" ref="AT5151:AT5175" si="713">T("9791137603950")</f>
        <v>9791137603950</v>
      </c>
      <c r="AV5151" t="str">
        <f t="shared" ref="AV5151:AV5175" si="714">T("판타지 웹소설 &gt; 퓨전 판타지")</f>
        <v>판타지 웹소설 &gt; 퓨전 판타지</v>
      </c>
    </row>
    <row r="5152" spans="1:48" x14ac:dyDescent="0.4">
      <c r="A5152">
        <v>2313017252</v>
      </c>
      <c r="B5152">
        <v>2313017253</v>
      </c>
      <c r="C5152" t="str">
        <f>T("신들의 알바나라 2화")</f>
        <v>신들의 알바나라 2화</v>
      </c>
      <c r="D5152" t="str">
        <f>T("2")</f>
        <v>2</v>
      </c>
      <c r="E5152" t="str">
        <f t="shared" si="710"/>
        <v>갓띵작</v>
      </c>
      <c r="H5152" t="str">
        <f t="shared" si="711"/>
        <v>스토리위즈</v>
      </c>
      <c r="I5152" t="str">
        <f t="shared" si="712"/>
        <v>신들의 알바나라</v>
      </c>
      <c r="J5152">
        <v>0</v>
      </c>
      <c r="K5152">
        <v>0</v>
      </c>
      <c r="L5152">
        <v>0</v>
      </c>
      <c r="M5152">
        <v>9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9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T5152" t="str">
        <f t="shared" si="713"/>
        <v>9791137603950</v>
      </c>
      <c r="AV5152" t="str">
        <f t="shared" si="714"/>
        <v>판타지 웹소설 &gt; 퓨전 판타지</v>
      </c>
    </row>
    <row r="5153" spans="1:48" x14ac:dyDescent="0.4">
      <c r="A5153">
        <v>2313017252</v>
      </c>
      <c r="B5153">
        <v>2313017254</v>
      </c>
      <c r="C5153" t="str">
        <f>T("신들의 알바나라 3화")</f>
        <v>신들의 알바나라 3화</v>
      </c>
      <c r="D5153" t="str">
        <f>T("3")</f>
        <v>3</v>
      </c>
      <c r="E5153" t="str">
        <f t="shared" si="710"/>
        <v>갓띵작</v>
      </c>
      <c r="H5153" t="str">
        <f t="shared" si="711"/>
        <v>스토리위즈</v>
      </c>
      <c r="I5153" t="str">
        <f t="shared" si="712"/>
        <v>신들의 알바나라</v>
      </c>
      <c r="J5153">
        <v>0</v>
      </c>
      <c r="K5153">
        <v>0</v>
      </c>
      <c r="L5153">
        <v>0</v>
      </c>
      <c r="M5153">
        <v>10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10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T5153" t="str">
        <f t="shared" si="713"/>
        <v>9791137603950</v>
      </c>
      <c r="AV5153" t="str">
        <f t="shared" si="714"/>
        <v>판타지 웹소설 &gt; 퓨전 판타지</v>
      </c>
    </row>
    <row r="5154" spans="1:48" x14ac:dyDescent="0.4">
      <c r="A5154">
        <v>2313017252</v>
      </c>
      <c r="B5154">
        <v>2313017255</v>
      </c>
      <c r="C5154" t="str">
        <f>T("신들의 알바나라 4화")</f>
        <v>신들의 알바나라 4화</v>
      </c>
      <c r="D5154" t="str">
        <f>T("4")</f>
        <v>4</v>
      </c>
      <c r="E5154" t="str">
        <f t="shared" si="710"/>
        <v>갓띵작</v>
      </c>
      <c r="H5154" t="str">
        <f t="shared" si="711"/>
        <v>스토리위즈</v>
      </c>
      <c r="I5154" t="str">
        <f t="shared" si="712"/>
        <v>신들의 알바나라</v>
      </c>
      <c r="J5154">
        <v>0</v>
      </c>
      <c r="K5154">
        <v>0</v>
      </c>
      <c r="L5154">
        <v>0</v>
      </c>
      <c r="M5154">
        <v>11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11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T5154" t="str">
        <f t="shared" si="713"/>
        <v>9791137603950</v>
      </c>
      <c r="AV5154" t="str">
        <f t="shared" si="714"/>
        <v>판타지 웹소설 &gt; 퓨전 판타지</v>
      </c>
    </row>
    <row r="5155" spans="1:48" x14ac:dyDescent="0.4">
      <c r="A5155">
        <v>2313017252</v>
      </c>
      <c r="B5155">
        <v>2313017256</v>
      </c>
      <c r="C5155" t="str">
        <f>T("신들의 알바나라 5화")</f>
        <v>신들의 알바나라 5화</v>
      </c>
      <c r="D5155" t="str">
        <f>T("5")</f>
        <v>5</v>
      </c>
      <c r="E5155" t="str">
        <f t="shared" si="710"/>
        <v>갓띵작</v>
      </c>
      <c r="H5155" t="str">
        <f t="shared" si="711"/>
        <v>스토리위즈</v>
      </c>
      <c r="I5155" t="str">
        <f t="shared" si="712"/>
        <v>신들의 알바나라</v>
      </c>
      <c r="J5155">
        <v>0</v>
      </c>
      <c r="K5155">
        <v>0</v>
      </c>
      <c r="L5155">
        <v>0</v>
      </c>
      <c r="M5155">
        <v>11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11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T5155" t="str">
        <f t="shared" si="713"/>
        <v>9791137603950</v>
      </c>
      <c r="AV5155" t="str">
        <f t="shared" si="714"/>
        <v>판타지 웹소설 &gt; 퓨전 판타지</v>
      </c>
    </row>
    <row r="5156" spans="1:48" x14ac:dyDescent="0.4">
      <c r="A5156">
        <v>2313017252</v>
      </c>
      <c r="B5156">
        <v>2313017257</v>
      </c>
      <c r="C5156" t="str">
        <f>T("신들의 알바나라 6화")</f>
        <v>신들의 알바나라 6화</v>
      </c>
      <c r="D5156" t="str">
        <f>T("6")</f>
        <v>6</v>
      </c>
      <c r="E5156" t="str">
        <f t="shared" si="710"/>
        <v>갓띵작</v>
      </c>
      <c r="H5156" t="str">
        <f t="shared" si="711"/>
        <v>스토리위즈</v>
      </c>
      <c r="I5156" t="str">
        <f t="shared" si="712"/>
        <v>신들의 알바나라</v>
      </c>
      <c r="J5156">
        <v>0</v>
      </c>
      <c r="K5156">
        <v>0</v>
      </c>
      <c r="L5156">
        <v>0</v>
      </c>
      <c r="M5156">
        <v>10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10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T5156" t="str">
        <f t="shared" si="713"/>
        <v>9791137603950</v>
      </c>
      <c r="AV5156" t="str">
        <f t="shared" si="714"/>
        <v>판타지 웹소설 &gt; 퓨전 판타지</v>
      </c>
    </row>
    <row r="5157" spans="1:48" x14ac:dyDescent="0.4">
      <c r="A5157">
        <v>2313017252</v>
      </c>
      <c r="B5157">
        <v>2313017258</v>
      </c>
      <c r="C5157" t="str">
        <f>T("신들의 알바나라 7화")</f>
        <v>신들의 알바나라 7화</v>
      </c>
      <c r="D5157" t="str">
        <f>T("7")</f>
        <v>7</v>
      </c>
      <c r="E5157" t="str">
        <f t="shared" si="710"/>
        <v>갓띵작</v>
      </c>
      <c r="H5157" t="str">
        <f t="shared" si="711"/>
        <v>스토리위즈</v>
      </c>
      <c r="I5157" t="str">
        <f t="shared" si="712"/>
        <v>신들의 알바나라</v>
      </c>
      <c r="J5157">
        <v>0</v>
      </c>
      <c r="K5157">
        <v>0</v>
      </c>
      <c r="L5157">
        <v>0</v>
      </c>
      <c r="M5157">
        <v>10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T5157" t="str">
        <f t="shared" si="713"/>
        <v>9791137603950</v>
      </c>
      <c r="AV5157" t="str">
        <f t="shared" si="714"/>
        <v>판타지 웹소설 &gt; 퓨전 판타지</v>
      </c>
    </row>
    <row r="5158" spans="1:48" x14ac:dyDescent="0.4">
      <c r="A5158">
        <v>2313017252</v>
      </c>
      <c r="B5158">
        <v>2313017259</v>
      </c>
      <c r="C5158" t="str">
        <f>T("신들의 알바나라 8화")</f>
        <v>신들의 알바나라 8화</v>
      </c>
      <c r="D5158" t="str">
        <f>T("8")</f>
        <v>8</v>
      </c>
      <c r="E5158" t="str">
        <f t="shared" si="710"/>
        <v>갓띵작</v>
      </c>
      <c r="H5158" t="str">
        <f t="shared" si="711"/>
        <v>스토리위즈</v>
      </c>
      <c r="I5158" t="str">
        <f t="shared" si="712"/>
        <v>신들의 알바나라</v>
      </c>
      <c r="J5158">
        <v>0</v>
      </c>
      <c r="K5158">
        <v>0</v>
      </c>
      <c r="L5158">
        <v>0</v>
      </c>
      <c r="M5158">
        <v>10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T5158" t="str">
        <f t="shared" si="713"/>
        <v>9791137603950</v>
      </c>
      <c r="AV5158" t="str">
        <f t="shared" si="714"/>
        <v>판타지 웹소설 &gt; 퓨전 판타지</v>
      </c>
    </row>
    <row r="5159" spans="1:48" x14ac:dyDescent="0.4">
      <c r="A5159">
        <v>2313017252</v>
      </c>
      <c r="B5159">
        <v>2313017260</v>
      </c>
      <c r="C5159" t="str">
        <f>T("신들의 알바나라 9화")</f>
        <v>신들의 알바나라 9화</v>
      </c>
      <c r="D5159" t="str">
        <f>T("9")</f>
        <v>9</v>
      </c>
      <c r="E5159" t="str">
        <f t="shared" si="710"/>
        <v>갓띵작</v>
      </c>
      <c r="H5159" t="str">
        <f t="shared" si="711"/>
        <v>스토리위즈</v>
      </c>
      <c r="I5159" t="str">
        <f t="shared" si="712"/>
        <v>신들의 알바나라</v>
      </c>
      <c r="J5159">
        <v>0</v>
      </c>
      <c r="K5159">
        <v>0</v>
      </c>
      <c r="L5159">
        <v>0</v>
      </c>
      <c r="M5159">
        <v>10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T5159" t="str">
        <f t="shared" si="713"/>
        <v>9791137603950</v>
      </c>
      <c r="AV5159" t="str">
        <f t="shared" si="714"/>
        <v>판타지 웹소설 &gt; 퓨전 판타지</v>
      </c>
    </row>
    <row r="5160" spans="1:48" x14ac:dyDescent="0.4">
      <c r="A5160">
        <v>2313017252</v>
      </c>
      <c r="B5160">
        <v>2313017261</v>
      </c>
      <c r="C5160" t="str">
        <f>T("신들의 알바나라 10화")</f>
        <v>신들의 알바나라 10화</v>
      </c>
      <c r="D5160" t="str">
        <f>T("10")</f>
        <v>10</v>
      </c>
      <c r="E5160" t="str">
        <f t="shared" si="710"/>
        <v>갓띵작</v>
      </c>
      <c r="H5160" t="str">
        <f t="shared" si="711"/>
        <v>스토리위즈</v>
      </c>
      <c r="I5160" t="str">
        <f t="shared" si="712"/>
        <v>신들의 알바나라</v>
      </c>
      <c r="J5160">
        <v>0</v>
      </c>
      <c r="K5160">
        <v>0</v>
      </c>
      <c r="L5160">
        <v>0</v>
      </c>
      <c r="M5160">
        <v>10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T5160" t="str">
        <f t="shared" si="713"/>
        <v>9791137603950</v>
      </c>
      <c r="AV5160" t="str">
        <f t="shared" si="714"/>
        <v>판타지 웹소설 &gt; 퓨전 판타지</v>
      </c>
    </row>
    <row r="5161" spans="1:48" x14ac:dyDescent="0.4">
      <c r="A5161">
        <v>2313017252</v>
      </c>
      <c r="B5161">
        <v>2313017262</v>
      </c>
      <c r="C5161" t="str">
        <f>T("신들의 알바나라 11화")</f>
        <v>신들의 알바나라 11화</v>
      </c>
      <c r="D5161" t="str">
        <f>T("11")</f>
        <v>11</v>
      </c>
      <c r="E5161" t="str">
        <f t="shared" si="710"/>
        <v>갓띵작</v>
      </c>
      <c r="H5161" t="str">
        <f t="shared" si="711"/>
        <v>스토리위즈</v>
      </c>
      <c r="I5161" t="str">
        <f t="shared" si="712"/>
        <v>신들의 알바나라</v>
      </c>
      <c r="J5161">
        <v>0</v>
      </c>
      <c r="K5161">
        <v>0</v>
      </c>
      <c r="L5161">
        <v>0</v>
      </c>
      <c r="M5161">
        <v>10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T5161" t="str">
        <f t="shared" si="713"/>
        <v>9791137603950</v>
      </c>
      <c r="AV5161" t="str">
        <f t="shared" si="714"/>
        <v>판타지 웹소설 &gt; 퓨전 판타지</v>
      </c>
    </row>
    <row r="5162" spans="1:48" x14ac:dyDescent="0.4">
      <c r="A5162">
        <v>2313017252</v>
      </c>
      <c r="B5162">
        <v>2313017263</v>
      </c>
      <c r="C5162" t="str">
        <f>T("신들의 알바나라 12화")</f>
        <v>신들의 알바나라 12화</v>
      </c>
      <c r="D5162" t="str">
        <f>T("12")</f>
        <v>12</v>
      </c>
      <c r="E5162" t="str">
        <f t="shared" si="710"/>
        <v>갓띵작</v>
      </c>
      <c r="H5162" t="str">
        <f t="shared" si="711"/>
        <v>스토리위즈</v>
      </c>
      <c r="I5162" t="str">
        <f t="shared" si="712"/>
        <v>신들의 알바나라</v>
      </c>
      <c r="J5162">
        <v>0</v>
      </c>
      <c r="K5162">
        <v>0</v>
      </c>
      <c r="L5162">
        <v>0</v>
      </c>
      <c r="M5162">
        <v>8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8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T5162" t="str">
        <f t="shared" si="713"/>
        <v>9791137603950</v>
      </c>
      <c r="AV5162" t="str">
        <f t="shared" si="714"/>
        <v>판타지 웹소설 &gt; 퓨전 판타지</v>
      </c>
    </row>
    <row r="5163" spans="1:48" x14ac:dyDescent="0.4">
      <c r="A5163">
        <v>2313017252</v>
      </c>
      <c r="B5163">
        <v>2313017264</v>
      </c>
      <c r="C5163" t="str">
        <f>T("신들의 알바나라 13화")</f>
        <v>신들의 알바나라 13화</v>
      </c>
      <c r="D5163" t="str">
        <f>T("13")</f>
        <v>13</v>
      </c>
      <c r="E5163" t="str">
        <f t="shared" si="710"/>
        <v>갓띵작</v>
      </c>
      <c r="H5163" t="str">
        <f t="shared" si="711"/>
        <v>스토리위즈</v>
      </c>
      <c r="I5163" t="str">
        <f t="shared" si="712"/>
        <v>신들의 알바나라</v>
      </c>
      <c r="J5163">
        <v>0</v>
      </c>
      <c r="K5163">
        <v>0</v>
      </c>
      <c r="L5163">
        <v>0</v>
      </c>
      <c r="M5163">
        <v>7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7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T5163" t="str">
        <f t="shared" si="713"/>
        <v>9791137603950</v>
      </c>
      <c r="AV5163" t="str">
        <f t="shared" si="714"/>
        <v>판타지 웹소설 &gt; 퓨전 판타지</v>
      </c>
    </row>
    <row r="5164" spans="1:48" x14ac:dyDescent="0.4">
      <c r="A5164">
        <v>2313017252</v>
      </c>
      <c r="B5164">
        <v>2313017265</v>
      </c>
      <c r="C5164" t="str">
        <f>T("신들의 알바나라 14화")</f>
        <v>신들의 알바나라 14화</v>
      </c>
      <c r="D5164" t="str">
        <f>T("14")</f>
        <v>14</v>
      </c>
      <c r="E5164" t="str">
        <f t="shared" si="710"/>
        <v>갓띵작</v>
      </c>
      <c r="H5164" t="str">
        <f t="shared" si="711"/>
        <v>스토리위즈</v>
      </c>
      <c r="I5164" t="str">
        <f t="shared" si="712"/>
        <v>신들의 알바나라</v>
      </c>
      <c r="J5164">
        <v>0</v>
      </c>
      <c r="K5164">
        <v>0</v>
      </c>
      <c r="L5164">
        <v>0</v>
      </c>
      <c r="M5164">
        <v>7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7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T5164" t="str">
        <f t="shared" si="713"/>
        <v>9791137603950</v>
      </c>
      <c r="AV5164" t="str">
        <f t="shared" si="714"/>
        <v>판타지 웹소설 &gt; 퓨전 판타지</v>
      </c>
    </row>
    <row r="5165" spans="1:48" x14ac:dyDescent="0.4">
      <c r="A5165">
        <v>2313017252</v>
      </c>
      <c r="B5165">
        <v>2313017266</v>
      </c>
      <c r="C5165" t="str">
        <f>T("신들의 알바나라 15화")</f>
        <v>신들의 알바나라 15화</v>
      </c>
      <c r="D5165" t="str">
        <f>T("15")</f>
        <v>15</v>
      </c>
      <c r="E5165" t="str">
        <f t="shared" si="710"/>
        <v>갓띵작</v>
      </c>
      <c r="H5165" t="str">
        <f t="shared" si="711"/>
        <v>스토리위즈</v>
      </c>
      <c r="I5165" t="str">
        <f t="shared" si="712"/>
        <v>신들의 알바나라</v>
      </c>
      <c r="J5165">
        <v>0</v>
      </c>
      <c r="K5165">
        <v>0</v>
      </c>
      <c r="L5165">
        <v>0</v>
      </c>
      <c r="M5165">
        <v>7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7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T5165" t="str">
        <f t="shared" si="713"/>
        <v>9791137603950</v>
      </c>
      <c r="AV5165" t="str">
        <f t="shared" si="714"/>
        <v>판타지 웹소설 &gt; 퓨전 판타지</v>
      </c>
    </row>
    <row r="5166" spans="1:48" x14ac:dyDescent="0.4">
      <c r="A5166">
        <v>2313017252</v>
      </c>
      <c r="B5166">
        <v>2313017267</v>
      </c>
      <c r="C5166" t="str">
        <f>T("신들의 알바나라 16화")</f>
        <v>신들의 알바나라 16화</v>
      </c>
      <c r="D5166" t="str">
        <f>T("16")</f>
        <v>16</v>
      </c>
      <c r="E5166" t="str">
        <f t="shared" si="710"/>
        <v>갓띵작</v>
      </c>
      <c r="H5166" t="str">
        <f t="shared" si="711"/>
        <v>스토리위즈</v>
      </c>
      <c r="I5166" t="str">
        <f t="shared" si="712"/>
        <v>신들의 알바나라</v>
      </c>
      <c r="J5166">
        <v>0</v>
      </c>
      <c r="K5166">
        <v>0</v>
      </c>
      <c r="L5166">
        <v>0</v>
      </c>
      <c r="M5166">
        <v>8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8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T5166" t="str">
        <f t="shared" si="713"/>
        <v>9791137603950</v>
      </c>
      <c r="AV5166" t="str">
        <f t="shared" si="714"/>
        <v>판타지 웹소설 &gt; 퓨전 판타지</v>
      </c>
    </row>
    <row r="5167" spans="1:48" x14ac:dyDescent="0.4">
      <c r="A5167">
        <v>2313017252</v>
      </c>
      <c r="B5167">
        <v>2313017268</v>
      </c>
      <c r="C5167" t="str">
        <f>T("신들의 알바나라 17화")</f>
        <v>신들의 알바나라 17화</v>
      </c>
      <c r="D5167" t="str">
        <f>T("17")</f>
        <v>17</v>
      </c>
      <c r="E5167" t="str">
        <f t="shared" si="710"/>
        <v>갓띵작</v>
      </c>
      <c r="H5167" t="str">
        <f t="shared" si="711"/>
        <v>스토리위즈</v>
      </c>
      <c r="I5167" t="str">
        <f t="shared" si="712"/>
        <v>신들의 알바나라</v>
      </c>
      <c r="J5167">
        <v>0</v>
      </c>
      <c r="K5167">
        <v>0</v>
      </c>
      <c r="L5167">
        <v>0</v>
      </c>
      <c r="M5167">
        <v>8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8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T5167" t="str">
        <f t="shared" si="713"/>
        <v>9791137603950</v>
      </c>
      <c r="AV5167" t="str">
        <f t="shared" si="714"/>
        <v>판타지 웹소설 &gt; 퓨전 판타지</v>
      </c>
    </row>
    <row r="5168" spans="1:48" x14ac:dyDescent="0.4">
      <c r="A5168">
        <v>2313017252</v>
      </c>
      <c r="B5168">
        <v>2313017269</v>
      </c>
      <c r="C5168" t="str">
        <f>T("신들의 알바나라 18화")</f>
        <v>신들의 알바나라 18화</v>
      </c>
      <c r="D5168" t="str">
        <f>T("18")</f>
        <v>18</v>
      </c>
      <c r="E5168" t="str">
        <f t="shared" si="710"/>
        <v>갓띵작</v>
      </c>
      <c r="H5168" t="str">
        <f t="shared" si="711"/>
        <v>스토리위즈</v>
      </c>
      <c r="I5168" t="str">
        <f t="shared" si="712"/>
        <v>신들의 알바나라</v>
      </c>
      <c r="J5168">
        <v>0</v>
      </c>
      <c r="K5168">
        <v>0</v>
      </c>
      <c r="L5168">
        <v>0</v>
      </c>
      <c r="M5168">
        <v>9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9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T5168" t="str">
        <f t="shared" si="713"/>
        <v>9791137603950</v>
      </c>
      <c r="AV5168" t="str">
        <f t="shared" si="714"/>
        <v>판타지 웹소설 &gt; 퓨전 판타지</v>
      </c>
    </row>
    <row r="5169" spans="1:48" x14ac:dyDescent="0.4">
      <c r="A5169">
        <v>2313017252</v>
      </c>
      <c r="B5169">
        <v>2313017270</v>
      </c>
      <c r="C5169" t="str">
        <f>T("신들의 알바나라 19화")</f>
        <v>신들의 알바나라 19화</v>
      </c>
      <c r="D5169" t="str">
        <f>T("19")</f>
        <v>19</v>
      </c>
      <c r="E5169" t="str">
        <f t="shared" si="710"/>
        <v>갓띵작</v>
      </c>
      <c r="H5169" t="str">
        <f t="shared" si="711"/>
        <v>스토리위즈</v>
      </c>
      <c r="I5169" t="str">
        <f t="shared" si="712"/>
        <v>신들의 알바나라</v>
      </c>
      <c r="J5169">
        <v>0</v>
      </c>
      <c r="K5169">
        <v>0</v>
      </c>
      <c r="L5169">
        <v>0</v>
      </c>
      <c r="M5169">
        <v>9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9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T5169" t="str">
        <f t="shared" si="713"/>
        <v>9791137603950</v>
      </c>
      <c r="AV5169" t="str">
        <f t="shared" si="714"/>
        <v>판타지 웹소설 &gt; 퓨전 판타지</v>
      </c>
    </row>
    <row r="5170" spans="1:48" x14ac:dyDescent="0.4">
      <c r="A5170">
        <v>2313017252</v>
      </c>
      <c r="B5170">
        <v>2313017271</v>
      </c>
      <c r="C5170" t="str">
        <f>T("신들의 알바나라 20화")</f>
        <v>신들의 알바나라 20화</v>
      </c>
      <c r="D5170" t="str">
        <f>T("20")</f>
        <v>20</v>
      </c>
      <c r="E5170" t="str">
        <f t="shared" si="710"/>
        <v>갓띵작</v>
      </c>
      <c r="H5170" t="str">
        <f t="shared" si="711"/>
        <v>스토리위즈</v>
      </c>
      <c r="I5170" t="str">
        <f t="shared" si="712"/>
        <v>신들의 알바나라</v>
      </c>
      <c r="J5170">
        <v>0</v>
      </c>
      <c r="K5170">
        <v>0</v>
      </c>
      <c r="L5170">
        <v>0</v>
      </c>
      <c r="M5170">
        <v>9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9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T5170" t="str">
        <f t="shared" si="713"/>
        <v>9791137603950</v>
      </c>
      <c r="AV5170" t="str">
        <f t="shared" si="714"/>
        <v>판타지 웹소설 &gt; 퓨전 판타지</v>
      </c>
    </row>
    <row r="5171" spans="1:48" x14ac:dyDescent="0.4">
      <c r="A5171">
        <v>2313017252</v>
      </c>
      <c r="B5171">
        <v>2313017272</v>
      </c>
      <c r="C5171" t="str">
        <f>T("신들의 알바나라 21화")</f>
        <v>신들의 알바나라 21화</v>
      </c>
      <c r="D5171" t="str">
        <f>T("21")</f>
        <v>21</v>
      </c>
      <c r="E5171" t="str">
        <f t="shared" si="710"/>
        <v>갓띵작</v>
      </c>
      <c r="H5171" t="str">
        <f t="shared" si="711"/>
        <v>스토리위즈</v>
      </c>
      <c r="I5171" t="str">
        <f t="shared" si="712"/>
        <v>신들의 알바나라</v>
      </c>
      <c r="J5171">
        <v>0</v>
      </c>
      <c r="K5171">
        <v>0</v>
      </c>
      <c r="L5171">
        <v>0</v>
      </c>
      <c r="M5171">
        <v>10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T5171" t="str">
        <f t="shared" si="713"/>
        <v>9791137603950</v>
      </c>
      <c r="AV5171" t="str">
        <f t="shared" si="714"/>
        <v>판타지 웹소설 &gt; 퓨전 판타지</v>
      </c>
    </row>
    <row r="5172" spans="1:48" x14ac:dyDescent="0.4">
      <c r="A5172">
        <v>2313017252</v>
      </c>
      <c r="B5172">
        <v>2313017273</v>
      </c>
      <c r="C5172" t="str">
        <f>T("신들의 알바나라 22화")</f>
        <v>신들의 알바나라 22화</v>
      </c>
      <c r="D5172" t="str">
        <f>T("22")</f>
        <v>22</v>
      </c>
      <c r="E5172" t="str">
        <f t="shared" si="710"/>
        <v>갓띵작</v>
      </c>
      <c r="H5172" t="str">
        <f t="shared" si="711"/>
        <v>스토리위즈</v>
      </c>
      <c r="I5172" t="str">
        <f t="shared" si="712"/>
        <v>신들의 알바나라</v>
      </c>
      <c r="J5172">
        <v>0</v>
      </c>
      <c r="K5172">
        <v>0</v>
      </c>
      <c r="L5172">
        <v>0</v>
      </c>
      <c r="M5172">
        <v>10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10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T5172" t="str">
        <f t="shared" si="713"/>
        <v>9791137603950</v>
      </c>
      <c r="AV5172" t="str">
        <f t="shared" si="714"/>
        <v>판타지 웹소설 &gt; 퓨전 판타지</v>
      </c>
    </row>
    <row r="5173" spans="1:48" x14ac:dyDescent="0.4">
      <c r="A5173">
        <v>2313017252</v>
      </c>
      <c r="B5173">
        <v>2313017274</v>
      </c>
      <c r="C5173" t="str">
        <f>T("신들의 알바나라 23화")</f>
        <v>신들의 알바나라 23화</v>
      </c>
      <c r="D5173" t="str">
        <f>T("23")</f>
        <v>23</v>
      </c>
      <c r="E5173" t="str">
        <f t="shared" si="710"/>
        <v>갓띵작</v>
      </c>
      <c r="H5173" t="str">
        <f t="shared" si="711"/>
        <v>스토리위즈</v>
      </c>
      <c r="I5173" t="str">
        <f t="shared" si="712"/>
        <v>신들의 알바나라</v>
      </c>
      <c r="J5173">
        <v>0</v>
      </c>
      <c r="K5173">
        <v>0</v>
      </c>
      <c r="L5173">
        <v>0</v>
      </c>
      <c r="M5173">
        <v>9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9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T5173" t="str">
        <f t="shared" si="713"/>
        <v>9791137603950</v>
      </c>
      <c r="AV5173" t="str">
        <f t="shared" si="714"/>
        <v>판타지 웹소설 &gt; 퓨전 판타지</v>
      </c>
    </row>
    <row r="5174" spans="1:48" x14ac:dyDescent="0.4">
      <c r="A5174">
        <v>2313017252</v>
      </c>
      <c r="B5174">
        <v>2313017275</v>
      </c>
      <c r="C5174" t="str">
        <f>T("신들의 알바나라 24화")</f>
        <v>신들의 알바나라 24화</v>
      </c>
      <c r="D5174" t="str">
        <f>T("24")</f>
        <v>24</v>
      </c>
      <c r="E5174" t="str">
        <f t="shared" si="710"/>
        <v>갓띵작</v>
      </c>
      <c r="H5174" t="str">
        <f t="shared" si="711"/>
        <v>스토리위즈</v>
      </c>
      <c r="I5174" t="str">
        <f t="shared" si="712"/>
        <v>신들의 알바나라</v>
      </c>
      <c r="J5174">
        <v>0</v>
      </c>
      <c r="K5174">
        <v>0</v>
      </c>
      <c r="L5174">
        <v>0</v>
      </c>
      <c r="M5174">
        <v>9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9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T5174" t="str">
        <f t="shared" si="713"/>
        <v>9791137603950</v>
      </c>
      <c r="AV5174" t="str">
        <f t="shared" si="714"/>
        <v>판타지 웹소설 &gt; 퓨전 판타지</v>
      </c>
    </row>
    <row r="5175" spans="1:48" x14ac:dyDescent="0.4">
      <c r="A5175">
        <v>2313017252</v>
      </c>
      <c r="B5175">
        <v>2313017276</v>
      </c>
      <c r="C5175" t="str">
        <f>T("신들의 알바나라 25화")</f>
        <v>신들의 알바나라 25화</v>
      </c>
      <c r="D5175" t="str">
        <f>T("25")</f>
        <v>25</v>
      </c>
      <c r="E5175" t="str">
        <f t="shared" si="710"/>
        <v>갓띵작</v>
      </c>
      <c r="H5175" t="str">
        <f t="shared" si="711"/>
        <v>스토리위즈</v>
      </c>
      <c r="I5175" t="str">
        <f t="shared" si="712"/>
        <v>신들의 알바나라</v>
      </c>
      <c r="J5175">
        <v>0</v>
      </c>
      <c r="K5175">
        <v>0</v>
      </c>
      <c r="L5175">
        <v>0</v>
      </c>
      <c r="M5175">
        <v>11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T5175" t="str">
        <f t="shared" si="713"/>
        <v>9791137603950</v>
      </c>
      <c r="AV5175" t="str">
        <f t="shared" si="714"/>
        <v>판타지 웹소설 &gt; 퓨전 판타지</v>
      </c>
    </row>
    <row r="5176" spans="1:48" x14ac:dyDescent="0.4">
      <c r="A5176">
        <v>2313017453</v>
      </c>
      <c r="B5176">
        <v>2313017453</v>
      </c>
      <c r="C5176" t="str">
        <f>T("[e북]칵테일로 레벨업 1권")</f>
        <v>[e북]칵테일로 레벨업 1권</v>
      </c>
      <c r="D5176" t="str">
        <f>T("1")</f>
        <v>1</v>
      </c>
      <c r="E5176" t="str">
        <f t="shared" ref="E5176:E5182" si="715">T("서강후")</f>
        <v>서강후</v>
      </c>
      <c r="H5176" t="str">
        <f t="shared" si="711"/>
        <v>스토리위즈</v>
      </c>
      <c r="I5176" t="str">
        <f t="shared" ref="I5176:I5182" si="716">T("[e북]칵테일로 레벨업")</f>
        <v>[e북]칵테일로 레벨업</v>
      </c>
      <c r="J5176">
        <v>0</v>
      </c>
      <c r="K5176">
        <v>0</v>
      </c>
      <c r="L5176">
        <v>0</v>
      </c>
      <c r="M5176">
        <v>24</v>
      </c>
      <c r="N5176">
        <v>0</v>
      </c>
      <c r="O5176">
        <v>0</v>
      </c>
      <c r="P5176">
        <v>7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31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T5176" t="str">
        <f>T("9791137604155")</f>
        <v>9791137604155</v>
      </c>
      <c r="AV5176" t="str">
        <f t="shared" ref="AV5176:AV5182" si="717">T("판타지 e북 &gt; 현대 판타지")</f>
        <v>판타지 e북 &gt; 현대 판타지</v>
      </c>
    </row>
    <row r="5177" spans="1:48" x14ac:dyDescent="0.4">
      <c r="A5177">
        <v>2313017453</v>
      </c>
      <c r="B5177">
        <v>2313017454</v>
      </c>
      <c r="C5177" t="str">
        <f>T("[e북]칵테일로 레벨업 2권")</f>
        <v>[e북]칵테일로 레벨업 2권</v>
      </c>
      <c r="D5177" t="str">
        <f>T("2")</f>
        <v>2</v>
      </c>
      <c r="E5177" t="str">
        <f t="shared" si="715"/>
        <v>서강후</v>
      </c>
      <c r="H5177" t="str">
        <f t="shared" si="711"/>
        <v>스토리위즈</v>
      </c>
      <c r="I5177" t="str">
        <f t="shared" si="716"/>
        <v>[e북]칵테일로 레벨업</v>
      </c>
      <c r="J5177">
        <v>3200</v>
      </c>
      <c r="K5177">
        <v>0</v>
      </c>
      <c r="L5177">
        <v>0</v>
      </c>
      <c r="M5177">
        <v>0</v>
      </c>
      <c r="N5177">
        <v>1620</v>
      </c>
      <c r="O5177">
        <v>2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1620</v>
      </c>
      <c r="AH5177">
        <v>2</v>
      </c>
      <c r="AI5177">
        <v>0</v>
      </c>
      <c r="AJ5177">
        <v>0</v>
      </c>
      <c r="AK5177">
        <v>1620</v>
      </c>
      <c r="AL5177">
        <v>0</v>
      </c>
      <c r="AM5177">
        <v>0</v>
      </c>
      <c r="AN5177">
        <v>0</v>
      </c>
      <c r="AO5177">
        <v>0</v>
      </c>
      <c r="AP5177">
        <v>1134</v>
      </c>
      <c r="AT5177" t="str">
        <f>T("9791137604162")</f>
        <v>9791137604162</v>
      </c>
      <c r="AV5177" t="str">
        <f t="shared" si="717"/>
        <v>판타지 e북 &gt; 현대 판타지</v>
      </c>
    </row>
    <row r="5178" spans="1:48" x14ac:dyDescent="0.4">
      <c r="A5178">
        <v>2313017453</v>
      </c>
      <c r="B5178">
        <v>2313017455</v>
      </c>
      <c r="C5178" t="str">
        <f>T("[e북]칵테일로 레벨업 3권")</f>
        <v>[e북]칵테일로 레벨업 3권</v>
      </c>
      <c r="D5178" t="str">
        <f>T("3")</f>
        <v>3</v>
      </c>
      <c r="E5178" t="str">
        <f t="shared" si="715"/>
        <v>서강후</v>
      </c>
      <c r="H5178" t="str">
        <f t="shared" si="711"/>
        <v>스토리위즈</v>
      </c>
      <c r="I5178" t="str">
        <f t="shared" si="716"/>
        <v>[e북]칵테일로 레벨업</v>
      </c>
      <c r="J5178">
        <v>3200</v>
      </c>
      <c r="K5178">
        <v>0</v>
      </c>
      <c r="L5178">
        <v>0</v>
      </c>
      <c r="M5178">
        <v>0</v>
      </c>
      <c r="N5178">
        <v>2520</v>
      </c>
      <c r="O5178">
        <v>3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2520</v>
      </c>
      <c r="AH5178">
        <v>3</v>
      </c>
      <c r="AI5178">
        <v>0</v>
      </c>
      <c r="AJ5178">
        <v>0</v>
      </c>
      <c r="AK5178">
        <v>2520</v>
      </c>
      <c r="AL5178">
        <v>0</v>
      </c>
      <c r="AM5178">
        <v>0</v>
      </c>
      <c r="AN5178">
        <v>0</v>
      </c>
      <c r="AO5178">
        <v>0</v>
      </c>
      <c r="AP5178">
        <v>1764</v>
      </c>
      <c r="AT5178" t="str">
        <f>T("9791137604179")</f>
        <v>9791137604179</v>
      </c>
      <c r="AV5178" t="str">
        <f t="shared" si="717"/>
        <v>판타지 e북 &gt; 현대 판타지</v>
      </c>
    </row>
    <row r="5179" spans="1:48" x14ac:dyDescent="0.4">
      <c r="A5179">
        <v>2313017453</v>
      </c>
      <c r="B5179">
        <v>2313017456</v>
      </c>
      <c r="C5179" t="str">
        <f>T("[e북]칵테일로 레벨업 4권")</f>
        <v>[e북]칵테일로 레벨업 4권</v>
      </c>
      <c r="D5179" t="str">
        <f>T("4")</f>
        <v>4</v>
      </c>
      <c r="E5179" t="str">
        <f t="shared" si="715"/>
        <v>서강후</v>
      </c>
      <c r="H5179" t="str">
        <f t="shared" si="711"/>
        <v>스토리위즈</v>
      </c>
      <c r="I5179" t="str">
        <f t="shared" si="716"/>
        <v>[e북]칵테일로 레벨업</v>
      </c>
      <c r="J5179">
        <v>3200</v>
      </c>
      <c r="K5179">
        <v>0</v>
      </c>
      <c r="L5179">
        <v>0</v>
      </c>
      <c r="M5179">
        <v>0</v>
      </c>
      <c r="N5179">
        <v>2520</v>
      </c>
      <c r="O5179">
        <v>3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2520</v>
      </c>
      <c r="AH5179">
        <v>3</v>
      </c>
      <c r="AI5179">
        <v>0</v>
      </c>
      <c r="AJ5179">
        <v>0</v>
      </c>
      <c r="AK5179">
        <v>2520</v>
      </c>
      <c r="AL5179">
        <v>0</v>
      </c>
      <c r="AM5179">
        <v>0</v>
      </c>
      <c r="AN5179">
        <v>0</v>
      </c>
      <c r="AO5179">
        <v>0</v>
      </c>
      <c r="AP5179">
        <v>1764</v>
      </c>
      <c r="AT5179" t="str">
        <f>T("9791137604186")</f>
        <v>9791137604186</v>
      </c>
      <c r="AV5179" t="str">
        <f t="shared" si="717"/>
        <v>판타지 e북 &gt; 현대 판타지</v>
      </c>
    </row>
    <row r="5180" spans="1:48" x14ac:dyDescent="0.4">
      <c r="A5180">
        <v>2313017453</v>
      </c>
      <c r="B5180">
        <v>2313017458</v>
      </c>
      <c r="C5180" t="str">
        <f>T("[e북]칵테일로 레벨업 6권")</f>
        <v>[e북]칵테일로 레벨업 6권</v>
      </c>
      <c r="D5180" t="str">
        <f>T("6")</f>
        <v>6</v>
      </c>
      <c r="E5180" t="str">
        <f t="shared" si="715"/>
        <v>서강후</v>
      </c>
      <c r="H5180" t="str">
        <f t="shared" si="711"/>
        <v>스토리위즈</v>
      </c>
      <c r="I5180" t="str">
        <f t="shared" si="716"/>
        <v>[e북]칵테일로 레벨업</v>
      </c>
      <c r="J5180">
        <v>3200</v>
      </c>
      <c r="K5180">
        <v>0</v>
      </c>
      <c r="L5180">
        <v>0</v>
      </c>
      <c r="M5180">
        <v>0</v>
      </c>
      <c r="N5180">
        <v>2520</v>
      </c>
      <c r="O5180">
        <v>3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2520</v>
      </c>
      <c r="AH5180">
        <v>3</v>
      </c>
      <c r="AI5180">
        <v>0</v>
      </c>
      <c r="AJ5180">
        <v>0</v>
      </c>
      <c r="AK5180">
        <v>2520</v>
      </c>
      <c r="AL5180">
        <v>0</v>
      </c>
      <c r="AM5180">
        <v>0</v>
      </c>
      <c r="AN5180">
        <v>0</v>
      </c>
      <c r="AO5180">
        <v>0</v>
      </c>
      <c r="AP5180">
        <v>1764</v>
      </c>
      <c r="AT5180" t="str">
        <f>T("9791137604209")</f>
        <v>9791137604209</v>
      </c>
      <c r="AV5180" t="str">
        <f t="shared" si="717"/>
        <v>판타지 e북 &gt; 현대 판타지</v>
      </c>
    </row>
    <row r="5181" spans="1:48" x14ac:dyDescent="0.4">
      <c r="A5181">
        <v>2313017453</v>
      </c>
      <c r="B5181">
        <v>2313017459</v>
      </c>
      <c r="C5181" t="str">
        <f>T("[e북]칵테일로 레벨업 7권")</f>
        <v>[e북]칵테일로 레벨업 7권</v>
      </c>
      <c r="D5181" t="str">
        <f>T("7")</f>
        <v>7</v>
      </c>
      <c r="E5181" t="str">
        <f t="shared" si="715"/>
        <v>서강후</v>
      </c>
      <c r="H5181" t="str">
        <f t="shared" si="711"/>
        <v>스토리위즈</v>
      </c>
      <c r="I5181" t="str">
        <f t="shared" si="716"/>
        <v>[e북]칵테일로 레벨업</v>
      </c>
      <c r="J5181">
        <v>3200</v>
      </c>
      <c r="K5181">
        <v>0</v>
      </c>
      <c r="L5181">
        <v>0</v>
      </c>
      <c r="M5181">
        <v>0</v>
      </c>
      <c r="N5181">
        <v>3420</v>
      </c>
      <c r="O5181">
        <v>4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3420</v>
      </c>
      <c r="AH5181">
        <v>4</v>
      </c>
      <c r="AI5181">
        <v>0</v>
      </c>
      <c r="AJ5181">
        <v>0</v>
      </c>
      <c r="AK5181">
        <v>3420</v>
      </c>
      <c r="AL5181">
        <v>0</v>
      </c>
      <c r="AM5181">
        <v>0</v>
      </c>
      <c r="AN5181">
        <v>0</v>
      </c>
      <c r="AO5181">
        <v>0</v>
      </c>
      <c r="AP5181">
        <v>2394</v>
      </c>
      <c r="AT5181" t="str">
        <f>T("9791137604216")</f>
        <v>9791137604216</v>
      </c>
      <c r="AV5181" t="str">
        <f t="shared" si="717"/>
        <v>판타지 e북 &gt; 현대 판타지</v>
      </c>
    </row>
    <row r="5182" spans="1:48" x14ac:dyDescent="0.4">
      <c r="A5182">
        <v>2313017453</v>
      </c>
      <c r="B5182">
        <v>2313017460</v>
      </c>
      <c r="C5182" t="str">
        <f>T("[e북]칵테일로 레벨업 8권 (완결)")</f>
        <v>[e북]칵테일로 레벨업 8권 (완결)</v>
      </c>
      <c r="D5182" t="str">
        <f>T("8")</f>
        <v>8</v>
      </c>
      <c r="E5182" t="str">
        <f t="shared" si="715"/>
        <v>서강후</v>
      </c>
      <c r="H5182" t="str">
        <f t="shared" si="711"/>
        <v>스토리위즈</v>
      </c>
      <c r="I5182" t="str">
        <f t="shared" si="716"/>
        <v>[e북]칵테일로 레벨업</v>
      </c>
      <c r="J5182">
        <v>3200</v>
      </c>
      <c r="K5182">
        <v>0</v>
      </c>
      <c r="L5182">
        <v>0</v>
      </c>
      <c r="M5182">
        <v>0</v>
      </c>
      <c r="N5182">
        <v>3420</v>
      </c>
      <c r="O5182">
        <v>4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3420</v>
      </c>
      <c r="AH5182">
        <v>4</v>
      </c>
      <c r="AI5182">
        <v>0</v>
      </c>
      <c r="AJ5182">
        <v>0</v>
      </c>
      <c r="AK5182">
        <v>3420</v>
      </c>
      <c r="AL5182">
        <v>0</v>
      </c>
      <c r="AM5182">
        <v>0</v>
      </c>
      <c r="AN5182">
        <v>0</v>
      </c>
      <c r="AO5182">
        <v>0</v>
      </c>
      <c r="AP5182">
        <v>2394</v>
      </c>
      <c r="AT5182" t="str">
        <f>T("9791137604223")</f>
        <v>9791137604223</v>
      </c>
      <c r="AV5182" t="str">
        <f t="shared" si="717"/>
        <v>판타지 e북 &gt; 현대 판타지</v>
      </c>
    </row>
    <row r="5183" spans="1:48" x14ac:dyDescent="0.4">
      <c r="A5183">
        <v>2313017461</v>
      </c>
      <c r="B5183">
        <v>2313017461</v>
      </c>
      <c r="C5183" t="str">
        <f>T("사냥꾼은 마왕이 되기 싫다 1화")</f>
        <v>사냥꾼은 마왕이 되기 싫다 1화</v>
      </c>
      <c r="D5183" t="str">
        <f>T("1")</f>
        <v>1</v>
      </c>
      <c r="E5183" t="str">
        <f t="shared" ref="E5183:E5224" si="718">T("강명운")</f>
        <v>강명운</v>
      </c>
      <c r="H5183" t="str">
        <f t="shared" ref="H5183:H5225" si="719">T("스토리아크")</f>
        <v>스토리아크</v>
      </c>
      <c r="I5183" t="str">
        <f t="shared" ref="I5183:I5224" si="720">T("사냥꾼은 마왕이 되기 싫다")</f>
        <v>사냥꾼은 마왕이 되기 싫다</v>
      </c>
      <c r="J5183">
        <v>0</v>
      </c>
      <c r="K5183">
        <v>0</v>
      </c>
      <c r="L5183">
        <v>0</v>
      </c>
      <c r="M5183">
        <v>52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52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R5183" t="str">
        <f t="shared" ref="AR5183:AR5226" si="721">T("0000000000000")</f>
        <v>0000000000000</v>
      </c>
      <c r="AT5183" t="str">
        <f t="shared" ref="AT5183:AT5224" si="722">T("9791191039269")</f>
        <v>9791191039269</v>
      </c>
      <c r="AV5183" t="str">
        <f t="shared" ref="AV5183:AV5225" si="723">T("판타지 웹소설 &gt; 정통 판타지")</f>
        <v>판타지 웹소설 &gt; 정통 판타지</v>
      </c>
    </row>
    <row r="5184" spans="1:48" x14ac:dyDescent="0.4">
      <c r="A5184">
        <v>2313017461</v>
      </c>
      <c r="B5184">
        <v>2313017462</v>
      </c>
      <c r="C5184" t="str">
        <f>T("사냥꾼은 마왕이 되기 싫다 2화")</f>
        <v>사냥꾼은 마왕이 되기 싫다 2화</v>
      </c>
      <c r="D5184" t="str">
        <f>T("2")</f>
        <v>2</v>
      </c>
      <c r="E5184" t="str">
        <f t="shared" si="718"/>
        <v>강명운</v>
      </c>
      <c r="H5184" t="str">
        <f t="shared" si="719"/>
        <v>스토리아크</v>
      </c>
      <c r="I5184" t="str">
        <f t="shared" si="720"/>
        <v>사냥꾼은 마왕이 되기 싫다</v>
      </c>
      <c r="J5184">
        <v>0</v>
      </c>
      <c r="K5184">
        <v>0</v>
      </c>
      <c r="L5184">
        <v>0</v>
      </c>
      <c r="M5184">
        <v>39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39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R5184" t="str">
        <f t="shared" si="721"/>
        <v>0000000000000</v>
      </c>
      <c r="AT5184" t="str">
        <f t="shared" si="722"/>
        <v>9791191039269</v>
      </c>
      <c r="AV5184" t="str">
        <f t="shared" si="723"/>
        <v>판타지 웹소설 &gt; 정통 판타지</v>
      </c>
    </row>
    <row r="5185" spans="1:48" x14ac:dyDescent="0.4">
      <c r="A5185">
        <v>2313017461</v>
      </c>
      <c r="B5185">
        <v>2313017463</v>
      </c>
      <c r="C5185" t="str">
        <f>T("사냥꾼은 마왕이 되기 싫다 3화")</f>
        <v>사냥꾼은 마왕이 되기 싫다 3화</v>
      </c>
      <c r="D5185" t="str">
        <f>T("3")</f>
        <v>3</v>
      </c>
      <c r="E5185" t="str">
        <f t="shared" si="718"/>
        <v>강명운</v>
      </c>
      <c r="H5185" t="str">
        <f t="shared" si="719"/>
        <v>스토리아크</v>
      </c>
      <c r="I5185" t="str">
        <f t="shared" si="720"/>
        <v>사냥꾼은 마왕이 되기 싫다</v>
      </c>
      <c r="J5185">
        <v>0</v>
      </c>
      <c r="K5185">
        <v>0</v>
      </c>
      <c r="L5185">
        <v>0</v>
      </c>
      <c r="M5185">
        <v>39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39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R5185" t="str">
        <f t="shared" si="721"/>
        <v>0000000000000</v>
      </c>
      <c r="AT5185" t="str">
        <f t="shared" si="722"/>
        <v>9791191039269</v>
      </c>
      <c r="AV5185" t="str">
        <f t="shared" si="723"/>
        <v>판타지 웹소설 &gt; 정통 판타지</v>
      </c>
    </row>
    <row r="5186" spans="1:48" x14ac:dyDescent="0.4">
      <c r="A5186">
        <v>2313017461</v>
      </c>
      <c r="B5186">
        <v>2313017464</v>
      </c>
      <c r="C5186" t="str">
        <f>T("사냥꾼은 마왕이 되기 싫다 4화")</f>
        <v>사냥꾼은 마왕이 되기 싫다 4화</v>
      </c>
      <c r="D5186" t="str">
        <f>T("4")</f>
        <v>4</v>
      </c>
      <c r="E5186" t="str">
        <f t="shared" si="718"/>
        <v>강명운</v>
      </c>
      <c r="H5186" t="str">
        <f t="shared" si="719"/>
        <v>스토리아크</v>
      </c>
      <c r="I5186" t="str">
        <f t="shared" si="720"/>
        <v>사냥꾼은 마왕이 되기 싫다</v>
      </c>
      <c r="J5186">
        <v>0</v>
      </c>
      <c r="K5186">
        <v>0</v>
      </c>
      <c r="L5186">
        <v>0</v>
      </c>
      <c r="M5186">
        <v>35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35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R5186" t="str">
        <f t="shared" si="721"/>
        <v>0000000000000</v>
      </c>
      <c r="AT5186" t="str">
        <f t="shared" si="722"/>
        <v>9791191039269</v>
      </c>
      <c r="AV5186" t="str">
        <f t="shared" si="723"/>
        <v>판타지 웹소설 &gt; 정통 판타지</v>
      </c>
    </row>
    <row r="5187" spans="1:48" x14ac:dyDescent="0.4">
      <c r="A5187">
        <v>2313017461</v>
      </c>
      <c r="B5187">
        <v>2313017465</v>
      </c>
      <c r="C5187" t="str">
        <f>T("사냥꾼은 마왕이 되기 싫다 5화")</f>
        <v>사냥꾼은 마왕이 되기 싫다 5화</v>
      </c>
      <c r="D5187" t="str">
        <f>T("5")</f>
        <v>5</v>
      </c>
      <c r="E5187" t="str">
        <f t="shared" si="718"/>
        <v>강명운</v>
      </c>
      <c r="H5187" t="str">
        <f t="shared" si="719"/>
        <v>스토리아크</v>
      </c>
      <c r="I5187" t="str">
        <f t="shared" si="720"/>
        <v>사냥꾼은 마왕이 되기 싫다</v>
      </c>
      <c r="J5187">
        <v>0</v>
      </c>
      <c r="K5187">
        <v>0</v>
      </c>
      <c r="L5187">
        <v>0</v>
      </c>
      <c r="M5187">
        <v>33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33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R5187" t="str">
        <f t="shared" si="721"/>
        <v>0000000000000</v>
      </c>
      <c r="AT5187" t="str">
        <f t="shared" si="722"/>
        <v>9791191039269</v>
      </c>
      <c r="AV5187" t="str">
        <f t="shared" si="723"/>
        <v>판타지 웹소설 &gt; 정통 판타지</v>
      </c>
    </row>
    <row r="5188" spans="1:48" x14ac:dyDescent="0.4">
      <c r="A5188">
        <v>2313017461</v>
      </c>
      <c r="B5188">
        <v>2313017466</v>
      </c>
      <c r="C5188" t="str">
        <f>T("사냥꾼은 마왕이 되기 싫다 6화")</f>
        <v>사냥꾼은 마왕이 되기 싫다 6화</v>
      </c>
      <c r="D5188" t="str">
        <f>T("6")</f>
        <v>6</v>
      </c>
      <c r="E5188" t="str">
        <f t="shared" si="718"/>
        <v>강명운</v>
      </c>
      <c r="H5188" t="str">
        <f t="shared" si="719"/>
        <v>스토리아크</v>
      </c>
      <c r="I5188" t="str">
        <f t="shared" si="720"/>
        <v>사냥꾼은 마왕이 되기 싫다</v>
      </c>
      <c r="J5188">
        <v>0</v>
      </c>
      <c r="K5188">
        <v>0</v>
      </c>
      <c r="L5188">
        <v>0</v>
      </c>
      <c r="M5188">
        <v>32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32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R5188" t="str">
        <f t="shared" si="721"/>
        <v>0000000000000</v>
      </c>
      <c r="AT5188" t="str">
        <f t="shared" si="722"/>
        <v>9791191039269</v>
      </c>
      <c r="AV5188" t="str">
        <f t="shared" si="723"/>
        <v>판타지 웹소설 &gt; 정통 판타지</v>
      </c>
    </row>
    <row r="5189" spans="1:48" x14ac:dyDescent="0.4">
      <c r="A5189">
        <v>2313017461</v>
      </c>
      <c r="B5189">
        <v>2313017467</v>
      </c>
      <c r="C5189" t="str">
        <f>T("사냥꾼은 마왕이 되기 싫다 7화")</f>
        <v>사냥꾼은 마왕이 되기 싫다 7화</v>
      </c>
      <c r="D5189" t="str">
        <f>T("7")</f>
        <v>7</v>
      </c>
      <c r="E5189" t="str">
        <f t="shared" si="718"/>
        <v>강명운</v>
      </c>
      <c r="H5189" t="str">
        <f t="shared" si="719"/>
        <v>스토리아크</v>
      </c>
      <c r="I5189" t="str">
        <f t="shared" si="720"/>
        <v>사냥꾼은 마왕이 되기 싫다</v>
      </c>
      <c r="J5189">
        <v>0</v>
      </c>
      <c r="K5189">
        <v>0</v>
      </c>
      <c r="L5189">
        <v>0</v>
      </c>
      <c r="M5189">
        <v>30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30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R5189" t="str">
        <f t="shared" si="721"/>
        <v>0000000000000</v>
      </c>
      <c r="AT5189" t="str">
        <f t="shared" si="722"/>
        <v>9791191039269</v>
      </c>
      <c r="AV5189" t="str">
        <f t="shared" si="723"/>
        <v>판타지 웹소설 &gt; 정통 판타지</v>
      </c>
    </row>
    <row r="5190" spans="1:48" x14ac:dyDescent="0.4">
      <c r="A5190">
        <v>2313017461</v>
      </c>
      <c r="B5190">
        <v>2313017468</v>
      </c>
      <c r="C5190" t="str">
        <f>T("사냥꾼은 마왕이 되기 싫다 8화")</f>
        <v>사냥꾼은 마왕이 되기 싫다 8화</v>
      </c>
      <c r="D5190" t="str">
        <f>T("8")</f>
        <v>8</v>
      </c>
      <c r="E5190" t="str">
        <f t="shared" si="718"/>
        <v>강명운</v>
      </c>
      <c r="H5190" t="str">
        <f t="shared" si="719"/>
        <v>스토리아크</v>
      </c>
      <c r="I5190" t="str">
        <f t="shared" si="720"/>
        <v>사냥꾼은 마왕이 되기 싫다</v>
      </c>
      <c r="J5190">
        <v>0</v>
      </c>
      <c r="K5190">
        <v>0</v>
      </c>
      <c r="L5190">
        <v>0</v>
      </c>
      <c r="M5190">
        <v>29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29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R5190" t="str">
        <f t="shared" si="721"/>
        <v>0000000000000</v>
      </c>
      <c r="AT5190" t="str">
        <f t="shared" si="722"/>
        <v>9791191039269</v>
      </c>
      <c r="AV5190" t="str">
        <f t="shared" si="723"/>
        <v>판타지 웹소설 &gt; 정통 판타지</v>
      </c>
    </row>
    <row r="5191" spans="1:48" x14ac:dyDescent="0.4">
      <c r="A5191">
        <v>2313017461</v>
      </c>
      <c r="B5191">
        <v>2313017469</v>
      </c>
      <c r="C5191" t="str">
        <f>T("사냥꾼은 마왕이 되기 싫다 9화")</f>
        <v>사냥꾼은 마왕이 되기 싫다 9화</v>
      </c>
      <c r="D5191" t="str">
        <f>T("9")</f>
        <v>9</v>
      </c>
      <c r="E5191" t="str">
        <f t="shared" si="718"/>
        <v>강명운</v>
      </c>
      <c r="H5191" t="str">
        <f t="shared" si="719"/>
        <v>스토리아크</v>
      </c>
      <c r="I5191" t="str">
        <f t="shared" si="720"/>
        <v>사냥꾼은 마왕이 되기 싫다</v>
      </c>
      <c r="J5191">
        <v>0</v>
      </c>
      <c r="K5191">
        <v>0</v>
      </c>
      <c r="L5191">
        <v>0</v>
      </c>
      <c r="M5191">
        <v>29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29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R5191" t="str">
        <f t="shared" si="721"/>
        <v>0000000000000</v>
      </c>
      <c r="AT5191" t="str">
        <f t="shared" si="722"/>
        <v>9791191039269</v>
      </c>
      <c r="AV5191" t="str">
        <f t="shared" si="723"/>
        <v>판타지 웹소설 &gt; 정통 판타지</v>
      </c>
    </row>
    <row r="5192" spans="1:48" x14ac:dyDescent="0.4">
      <c r="A5192">
        <v>2313017461</v>
      </c>
      <c r="B5192">
        <v>2313017470</v>
      </c>
      <c r="C5192" t="str">
        <f>T("사냥꾼은 마왕이 되기 싫다 10화")</f>
        <v>사냥꾼은 마왕이 되기 싫다 10화</v>
      </c>
      <c r="D5192" t="str">
        <f>T("10")</f>
        <v>10</v>
      </c>
      <c r="E5192" t="str">
        <f t="shared" si="718"/>
        <v>강명운</v>
      </c>
      <c r="H5192" t="str">
        <f t="shared" si="719"/>
        <v>스토리아크</v>
      </c>
      <c r="I5192" t="str">
        <f t="shared" si="720"/>
        <v>사냥꾼은 마왕이 되기 싫다</v>
      </c>
      <c r="J5192">
        <v>0</v>
      </c>
      <c r="K5192">
        <v>0</v>
      </c>
      <c r="L5192">
        <v>0</v>
      </c>
      <c r="M5192">
        <v>29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29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R5192" t="str">
        <f t="shared" si="721"/>
        <v>0000000000000</v>
      </c>
      <c r="AT5192" t="str">
        <f t="shared" si="722"/>
        <v>9791191039269</v>
      </c>
      <c r="AV5192" t="str">
        <f t="shared" si="723"/>
        <v>판타지 웹소설 &gt; 정통 판타지</v>
      </c>
    </row>
    <row r="5193" spans="1:48" x14ac:dyDescent="0.4">
      <c r="A5193">
        <v>2313017461</v>
      </c>
      <c r="B5193">
        <v>2313017471</v>
      </c>
      <c r="C5193" t="str">
        <f>T("사냥꾼은 마왕이 되기 싫다 11화")</f>
        <v>사냥꾼은 마왕이 되기 싫다 11화</v>
      </c>
      <c r="D5193" t="str">
        <f>T("11")</f>
        <v>11</v>
      </c>
      <c r="E5193" t="str">
        <f t="shared" si="718"/>
        <v>강명운</v>
      </c>
      <c r="H5193" t="str">
        <f t="shared" si="719"/>
        <v>스토리아크</v>
      </c>
      <c r="I5193" t="str">
        <f t="shared" si="720"/>
        <v>사냥꾼은 마왕이 되기 싫다</v>
      </c>
      <c r="J5193">
        <v>0</v>
      </c>
      <c r="K5193">
        <v>0</v>
      </c>
      <c r="L5193">
        <v>0</v>
      </c>
      <c r="M5193">
        <v>25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25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R5193" t="str">
        <f t="shared" si="721"/>
        <v>0000000000000</v>
      </c>
      <c r="AT5193" t="str">
        <f t="shared" si="722"/>
        <v>9791191039269</v>
      </c>
      <c r="AV5193" t="str">
        <f t="shared" si="723"/>
        <v>판타지 웹소설 &gt; 정통 판타지</v>
      </c>
    </row>
    <row r="5194" spans="1:48" x14ac:dyDescent="0.4">
      <c r="A5194">
        <v>2313017461</v>
      </c>
      <c r="B5194">
        <v>2313017472</v>
      </c>
      <c r="C5194" t="str">
        <f>T("사냥꾼은 마왕이 되기 싫다 12화")</f>
        <v>사냥꾼은 마왕이 되기 싫다 12화</v>
      </c>
      <c r="D5194" t="str">
        <f>T("12")</f>
        <v>12</v>
      </c>
      <c r="E5194" t="str">
        <f t="shared" si="718"/>
        <v>강명운</v>
      </c>
      <c r="H5194" t="str">
        <f t="shared" si="719"/>
        <v>스토리아크</v>
      </c>
      <c r="I5194" t="str">
        <f t="shared" si="720"/>
        <v>사냥꾼은 마왕이 되기 싫다</v>
      </c>
      <c r="J5194">
        <v>0</v>
      </c>
      <c r="K5194">
        <v>0</v>
      </c>
      <c r="L5194">
        <v>0</v>
      </c>
      <c r="M5194">
        <v>24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24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R5194" t="str">
        <f t="shared" si="721"/>
        <v>0000000000000</v>
      </c>
      <c r="AT5194" t="str">
        <f t="shared" si="722"/>
        <v>9791191039269</v>
      </c>
      <c r="AV5194" t="str">
        <f t="shared" si="723"/>
        <v>판타지 웹소설 &gt; 정통 판타지</v>
      </c>
    </row>
    <row r="5195" spans="1:48" x14ac:dyDescent="0.4">
      <c r="A5195">
        <v>2313017461</v>
      </c>
      <c r="B5195">
        <v>2313017473</v>
      </c>
      <c r="C5195" t="str">
        <f>T("사냥꾼은 마왕이 되기 싫다 13화")</f>
        <v>사냥꾼은 마왕이 되기 싫다 13화</v>
      </c>
      <c r="D5195" t="str">
        <f>T("13")</f>
        <v>13</v>
      </c>
      <c r="E5195" t="str">
        <f t="shared" si="718"/>
        <v>강명운</v>
      </c>
      <c r="H5195" t="str">
        <f t="shared" si="719"/>
        <v>스토리아크</v>
      </c>
      <c r="I5195" t="str">
        <f t="shared" si="720"/>
        <v>사냥꾼은 마왕이 되기 싫다</v>
      </c>
      <c r="J5195">
        <v>0</v>
      </c>
      <c r="K5195">
        <v>0</v>
      </c>
      <c r="L5195">
        <v>0</v>
      </c>
      <c r="M5195">
        <v>24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24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R5195" t="str">
        <f t="shared" si="721"/>
        <v>0000000000000</v>
      </c>
      <c r="AT5195" t="str">
        <f t="shared" si="722"/>
        <v>9791191039269</v>
      </c>
      <c r="AV5195" t="str">
        <f t="shared" si="723"/>
        <v>판타지 웹소설 &gt; 정통 판타지</v>
      </c>
    </row>
    <row r="5196" spans="1:48" x14ac:dyDescent="0.4">
      <c r="A5196">
        <v>2313017461</v>
      </c>
      <c r="B5196">
        <v>2313017474</v>
      </c>
      <c r="C5196" t="str">
        <f>T("사냥꾼은 마왕이 되기 싫다 14화")</f>
        <v>사냥꾼은 마왕이 되기 싫다 14화</v>
      </c>
      <c r="D5196" t="str">
        <f>T("14")</f>
        <v>14</v>
      </c>
      <c r="E5196" t="str">
        <f t="shared" si="718"/>
        <v>강명운</v>
      </c>
      <c r="H5196" t="str">
        <f t="shared" si="719"/>
        <v>스토리아크</v>
      </c>
      <c r="I5196" t="str">
        <f t="shared" si="720"/>
        <v>사냥꾼은 마왕이 되기 싫다</v>
      </c>
      <c r="J5196">
        <v>0</v>
      </c>
      <c r="K5196">
        <v>0</v>
      </c>
      <c r="L5196">
        <v>0</v>
      </c>
      <c r="M5196">
        <v>23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23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R5196" t="str">
        <f t="shared" si="721"/>
        <v>0000000000000</v>
      </c>
      <c r="AT5196" t="str">
        <f t="shared" si="722"/>
        <v>9791191039269</v>
      </c>
      <c r="AV5196" t="str">
        <f t="shared" si="723"/>
        <v>판타지 웹소설 &gt; 정통 판타지</v>
      </c>
    </row>
    <row r="5197" spans="1:48" x14ac:dyDescent="0.4">
      <c r="A5197">
        <v>2313017461</v>
      </c>
      <c r="B5197">
        <v>2313017475</v>
      </c>
      <c r="C5197" t="str">
        <f>T("사냥꾼은 마왕이 되기 싫다 15화")</f>
        <v>사냥꾼은 마왕이 되기 싫다 15화</v>
      </c>
      <c r="D5197" t="str">
        <f>T("15")</f>
        <v>15</v>
      </c>
      <c r="E5197" t="str">
        <f t="shared" si="718"/>
        <v>강명운</v>
      </c>
      <c r="H5197" t="str">
        <f t="shared" si="719"/>
        <v>스토리아크</v>
      </c>
      <c r="I5197" t="str">
        <f t="shared" si="720"/>
        <v>사냥꾼은 마왕이 되기 싫다</v>
      </c>
      <c r="J5197">
        <v>0</v>
      </c>
      <c r="K5197">
        <v>0</v>
      </c>
      <c r="L5197">
        <v>0</v>
      </c>
      <c r="M5197">
        <v>23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23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R5197" t="str">
        <f t="shared" si="721"/>
        <v>0000000000000</v>
      </c>
      <c r="AT5197" t="str">
        <f t="shared" si="722"/>
        <v>9791191039269</v>
      </c>
      <c r="AV5197" t="str">
        <f t="shared" si="723"/>
        <v>판타지 웹소설 &gt; 정통 판타지</v>
      </c>
    </row>
    <row r="5198" spans="1:48" x14ac:dyDescent="0.4">
      <c r="A5198">
        <v>2313017461</v>
      </c>
      <c r="B5198">
        <v>2313017476</v>
      </c>
      <c r="C5198" t="str">
        <f>T("사냥꾼은 마왕이 되기 싫다 16화")</f>
        <v>사냥꾼은 마왕이 되기 싫다 16화</v>
      </c>
      <c r="D5198" t="str">
        <f>T("16")</f>
        <v>16</v>
      </c>
      <c r="E5198" t="str">
        <f t="shared" si="718"/>
        <v>강명운</v>
      </c>
      <c r="H5198" t="str">
        <f t="shared" si="719"/>
        <v>스토리아크</v>
      </c>
      <c r="I5198" t="str">
        <f t="shared" si="720"/>
        <v>사냥꾼은 마왕이 되기 싫다</v>
      </c>
      <c r="J5198">
        <v>0</v>
      </c>
      <c r="K5198">
        <v>0</v>
      </c>
      <c r="L5198">
        <v>0</v>
      </c>
      <c r="M5198">
        <v>23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23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R5198" t="str">
        <f t="shared" si="721"/>
        <v>0000000000000</v>
      </c>
      <c r="AT5198" t="str">
        <f t="shared" si="722"/>
        <v>9791191039269</v>
      </c>
      <c r="AV5198" t="str">
        <f t="shared" si="723"/>
        <v>판타지 웹소설 &gt; 정통 판타지</v>
      </c>
    </row>
    <row r="5199" spans="1:48" x14ac:dyDescent="0.4">
      <c r="A5199">
        <v>2313017461</v>
      </c>
      <c r="B5199">
        <v>2313017477</v>
      </c>
      <c r="C5199" t="str">
        <f>T("사냥꾼은 마왕이 되기 싫다 17화")</f>
        <v>사냥꾼은 마왕이 되기 싫다 17화</v>
      </c>
      <c r="D5199" t="str">
        <f>T("17")</f>
        <v>17</v>
      </c>
      <c r="E5199" t="str">
        <f t="shared" si="718"/>
        <v>강명운</v>
      </c>
      <c r="H5199" t="str">
        <f t="shared" si="719"/>
        <v>스토리아크</v>
      </c>
      <c r="I5199" t="str">
        <f t="shared" si="720"/>
        <v>사냥꾼은 마왕이 되기 싫다</v>
      </c>
      <c r="J5199">
        <v>0</v>
      </c>
      <c r="K5199">
        <v>0</v>
      </c>
      <c r="L5199">
        <v>0</v>
      </c>
      <c r="M5199">
        <v>23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23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R5199" t="str">
        <f t="shared" si="721"/>
        <v>0000000000000</v>
      </c>
      <c r="AT5199" t="str">
        <f t="shared" si="722"/>
        <v>9791191039269</v>
      </c>
      <c r="AV5199" t="str">
        <f t="shared" si="723"/>
        <v>판타지 웹소설 &gt; 정통 판타지</v>
      </c>
    </row>
    <row r="5200" spans="1:48" x14ac:dyDescent="0.4">
      <c r="A5200">
        <v>2313017461</v>
      </c>
      <c r="B5200">
        <v>2313017478</v>
      </c>
      <c r="C5200" t="str">
        <f>T("사냥꾼은 마왕이 되기 싫다 18화")</f>
        <v>사냥꾼은 마왕이 되기 싫다 18화</v>
      </c>
      <c r="D5200" t="str">
        <f>T("18")</f>
        <v>18</v>
      </c>
      <c r="E5200" t="str">
        <f t="shared" si="718"/>
        <v>강명운</v>
      </c>
      <c r="H5200" t="str">
        <f t="shared" si="719"/>
        <v>스토리아크</v>
      </c>
      <c r="I5200" t="str">
        <f t="shared" si="720"/>
        <v>사냥꾼은 마왕이 되기 싫다</v>
      </c>
      <c r="J5200">
        <v>0</v>
      </c>
      <c r="K5200">
        <v>0</v>
      </c>
      <c r="L5200">
        <v>0</v>
      </c>
      <c r="M5200">
        <v>23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23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R5200" t="str">
        <f t="shared" si="721"/>
        <v>0000000000000</v>
      </c>
      <c r="AT5200" t="str">
        <f t="shared" si="722"/>
        <v>9791191039269</v>
      </c>
      <c r="AV5200" t="str">
        <f t="shared" si="723"/>
        <v>판타지 웹소설 &gt; 정통 판타지</v>
      </c>
    </row>
    <row r="5201" spans="1:48" x14ac:dyDescent="0.4">
      <c r="A5201">
        <v>2313017461</v>
      </c>
      <c r="B5201">
        <v>2313017479</v>
      </c>
      <c r="C5201" t="str">
        <f>T("사냥꾼은 마왕이 되기 싫다 19화")</f>
        <v>사냥꾼은 마왕이 되기 싫다 19화</v>
      </c>
      <c r="D5201" t="str">
        <f>T("19")</f>
        <v>19</v>
      </c>
      <c r="E5201" t="str">
        <f t="shared" si="718"/>
        <v>강명운</v>
      </c>
      <c r="H5201" t="str">
        <f t="shared" si="719"/>
        <v>스토리아크</v>
      </c>
      <c r="I5201" t="str">
        <f t="shared" si="720"/>
        <v>사냥꾼은 마왕이 되기 싫다</v>
      </c>
      <c r="J5201">
        <v>0</v>
      </c>
      <c r="K5201">
        <v>0</v>
      </c>
      <c r="L5201">
        <v>0</v>
      </c>
      <c r="M5201">
        <v>23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23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R5201" t="str">
        <f t="shared" si="721"/>
        <v>0000000000000</v>
      </c>
      <c r="AT5201" t="str">
        <f t="shared" si="722"/>
        <v>9791191039269</v>
      </c>
      <c r="AV5201" t="str">
        <f t="shared" si="723"/>
        <v>판타지 웹소설 &gt; 정통 판타지</v>
      </c>
    </row>
    <row r="5202" spans="1:48" x14ac:dyDescent="0.4">
      <c r="A5202">
        <v>2313017461</v>
      </c>
      <c r="B5202">
        <v>2313017480</v>
      </c>
      <c r="C5202" t="str">
        <f>T("사냥꾼은 마왕이 되기 싫다 20화")</f>
        <v>사냥꾼은 마왕이 되기 싫다 20화</v>
      </c>
      <c r="D5202" t="str">
        <f>T("20")</f>
        <v>20</v>
      </c>
      <c r="E5202" t="str">
        <f t="shared" si="718"/>
        <v>강명운</v>
      </c>
      <c r="H5202" t="str">
        <f t="shared" si="719"/>
        <v>스토리아크</v>
      </c>
      <c r="I5202" t="str">
        <f t="shared" si="720"/>
        <v>사냥꾼은 마왕이 되기 싫다</v>
      </c>
      <c r="J5202">
        <v>0</v>
      </c>
      <c r="K5202">
        <v>0</v>
      </c>
      <c r="L5202">
        <v>0</v>
      </c>
      <c r="M5202">
        <v>23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23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R5202" t="str">
        <f t="shared" si="721"/>
        <v>0000000000000</v>
      </c>
      <c r="AT5202" t="str">
        <f t="shared" si="722"/>
        <v>9791191039269</v>
      </c>
      <c r="AV5202" t="str">
        <f t="shared" si="723"/>
        <v>판타지 웹소설 &gt; 정통 판타지</v>
      </c>
    </row>
    <row r="5203" spans="1:48" x14ac:dyDescent="0.4">
      <c r="A5203">
        <v>2313017461</v>
      </c>
      <c r="B5203">
        <v>2313017481</v>
      </c>
      <c r="C5203" t="str">
        <f>T("사냥꾼은 마왕이 되기 싫다 21화")</f>
        <v>사냥꾼은 마왕이 되기 싫다 21화</v>
      </c>
      <c r="D5203" t="str">
        <f>T("21")</f>
        <v>21</v>
      </c>
      <c r="E5203" t="str">
        <f t="shared" si="718"/>
        <v>강명운</v>
      </c>
      <c r="H5203" t="str">
        <f t="shared" si="719"/>
        <v>스토리아크</v>
      </c>
      <c r="I5203" t="str">
        <f t="shared" si="720"/>
        <v>사냥꾼은 마왕이 되기 싫다</v>
      </c>
      <c r="J5203">
        <v>0</v>
      </c>
      <c r="K5203">
        <v>0</v>
      </c>
      <c r="L5203">
        <v>0</v>
      </c>
      <c r="M5203">
        <v>23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23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R5203" t="str">
        <f t="shared" si="721"/>
        <v>0000000000000</v>
      </c>
      <c r="AT5203" t="str">
        <f t="shared" si="722"/>
        <v>9791191039269</v>
      </c>
      <c r="AV5203" t="str">
        <f t="shared" si="723"/>
        <v>판타지 웹소설 &gt; 정통 판타지</v>
      </c>
    </row>
    <row r="5204" spans="1:48" x14ac:dyDescent="0.4">
      <c r="A5204">
        <v>2313017461</v>
      </c>
      <c r="B5204">
        <v>2313017482</v>
      </c>
      <c r="C5204" t="str">
        <f>T("사냥꾼은 마왕이 되기 싫다 22화")</f>
        <v>사냥꾼은 마왕이 되기 싫다 22화</v>
      </c>
      <c r="D5204" t="str">
        <f>T("22")</f>
        <v>22</v>
      </c>
      <c r="E5204" t="str">
        <f t="shared" si="718"/>
        <v>강명운</v>
      </c>
      <c r="H5204" t="str">
        <f t="shared" si="719"/>
        <v>스토리아크</v>
      </c>
      <c r="I5204" t="str">
        <f t="shared" si="720"/>
        <v>사냥꾼은 마왕이 되기 싫다</v>
      </c>
      <c r="J5204">
        <v>0</v>
      </c>
      <c r="K5204">
        <v>0</v>
      </c>
      <c r="L5204">
        <v>0</v>
      </c>
      <c r="M5204">
        <v>22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22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R5204" t="str">
        <f t="shared" si="721"/>
        <v>0000000000000</v>
      </c>
      <c r="AT5204" t="str">
        <f t="shared" si="722"/>
        <v>9791191039269</v>
      </c>
      <c r="AV5204" t="str">
        <f t="shared" si="723"/>
        <v>판타지 웹소설 &gt; 정통 판타지</v>
      </c>
    </row>
    <row r="5205" spans="1:48" x14ac:dyDescent="0.4">
      <c r="A5205">
        <v>2313017461</v>
      </c>
      <c r="B5205">
        <v>2313017483</v>
      </c>
      <c r="C5205" t="str">
        <f>T("사냥꾼은 마왕이 되기 싫다 23화")</f>
        <v>사냥꾼은 마왕이 되기 싫다 23화</v>
      </c>
      <c r="D5205" t="str">
        <f>T("23")</f>
        <v>23</v>
      </c>
      <c r="E5205" t="str">
        <f t="shared" si="718"/>
        <v>강명운</v>
      </c>
      <c r="H5205" t="str">
        <f t="shared" si="719"/>
        <v>스토리아크</v>
      </c>
      <c r="I5205" t="str">
        <f t="shared" si="720"/>
        <v>사냥꾼은 마왕이 되기 싫다</v>
      </c>
      <c r="J5205">
        <v>0</v>
      </c>
      <c r="K5205">
        <v>0</v>
      </c>
      <c r="L5205">
        <v>0</v>
      </c>
      <c r="M5205">
        <v>22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22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R5205" t="str">
        <f t="shared" si="721"/>
        <v>0000000000000</v>
      </c>
      <c r="AT5205" t="str">
        <f t="shared" si="722"/>
        <v>9791191039269</v>
      </c>
      <c r="AV5205" t="str">
        <f t="shared" si="723"/>
        <v>판타지 웹소설 &gt; 정통 판타지</v>
      </c>
    </row>
    <row r="5206" spans="1:48" x14ac:dyDescent="0.4">
      <c r="A5206">
        <v>2313017461</v>
      </c>
      <c r="B5206">
        <v>2313017484</v>
      </c>
      <c r="C5206" t="str">
        <f>T("사냥꾼은 마왕이 되기 싫다 24화")</f>
        <v>사냥꾼은 마왕이 되기 싫다 24화</v>
      </c>
      <c r="D5206" t="str">
        <f>T("24")</f>
        <v>24</v>
      </c>
      <c r="E5206" t="str">
        <f t="shared" si="718"/>
        <v>강명운</v>
      </c>
      <c r="H5206" t="str">
        <f t="shared" si="719"/>
        <v>스토리아크</v>
      </c>
      <c r="I5206" t="str">
        <f t="shared" si="720"/>
        <v>사냥꾼은 마왕이 되기 싫다</v>
      </c>
      <c r="J5206">
        <v>0</v>
      </c>
      <c r="K5206">
        <v>0</v>
      </c>
      <c r="L5206">
        <v>0</v>
      </c>
      <c r="M5206">
        <v>22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22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R5206" t="str">
        <f t="shared" si="721"/>
        <v>0000000000000</v>
      </c>
      <c r="AT5206" t="str">
        <f t="shared" si="722"/>
        <v>9791191039269</v>
      </c>
      <c r="AV5206" t="str">
        <f t="shared" si="723"/>
        <v>판타지 웹소설 &gt; 정통 판타지</v>
      </c>
    </row>
    <row r="5207" spans="1:48" x14ac:dyDescent="0.4">
      <c r="A5207">
        <v>2313017461</v>
      </c>
      <c r="B5207">
        <v>2313017485</v>
      </c>
      <c r="C5207" t="str">
        <f>T("사냥꾼은 마왕이 되기 싫다 25화")</f>
        <v>사냥꾼은 마왕이 되기 싫다 25화</v>
      </c>
      <c r="D5207" t="str">
        <f>T("25")</f>
        <v>25</v>
      </c>
      <c r="E5207" t="str">
        <f t="shared" si="718"/>
        <v>강명운</v>
      </c>
      <c r="H5207" t="str">
        <f t="shared" si="719"/>
        <v>스토리아크</v>
      </c>
      <c r="I5207" t="str">
        <f t="shared" si="720"/>
        <v>사냥꾼은 마왕이 되기 싫다</v>
      </c>
      <c r="J5207">
        <v>0</v>
      </c>
      <c r="K5207">
        <v>0</v>
      </c>
      <c r="L5207">
        <v>0</v>
      </c>
      <c r="M5207">
        <v>23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23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R5207" t="str">
        <f t="shared" si="721"/>
        <v>0000000000000</v>
      </c>
      <c r="AT5207" t="str">
        <f t="shared" si="722"/>
        <v>9791191039269</v>
      </c>
      <c r="AV5207" t="str">
        <f t="shared" si="723"/>
        <v>판타지 웹소설 &gt; 정통 판타지</v>
      </c>
    </row>
    <row r="5208" spans="1:48" x14ac:dyDescent="0.4">
      <c r="A5208">
        <v>2313017461</v>
      </c>
      <c r="B5208">
        <v>2313017486</v>
      </c>
      <c r="C5208" t="str">
        <f>T("사냥꾼은 마왕이 되기 싫다 26화")</f>
        <v>사냥꾼은 마왕이 되기 싫다 26화</v>
      </c>
      <c r="D5208" t="str">
        <f>T("26")</f>
        <v>26</v>
      </c>
      <c r="E5208" t="str">
        <f t="shared" si="718"/>
        <v>강명운</v>
      </c>
      <c r="H5208" t="str">
        <f t="shared" si="719"/>
        <v>스토리아크</v>
      </c>
      <c r="I5208" t="str">
        <f t="shared" si="720"/>
        <v>사냥꾼은 마왕이 되기 싫다</v>
      </c>
      <c r="J5208">
        <v>100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R5208" t="str">
        <f t="shared" si="721"/>
        <v>0000000000000</v>
      </c>
      <c r="AT5208" t="str">
        <f t="shared" si="722"/>
        <v>9791191039269</v>
      </c>
      <c r="AV5208" t="str">
        <f t="shared" si="723"/>
        <v>판타지 웹소설 &gt; 정통 판타지</v>
      </c>
    </row>
    <row r="5209" spans="1:48" x14ac:dyDescent="0.4">
      <c r="A5209">
        <v>2313017461</v>
      </c>
      <c r="B5209">
        <v>2313017487</v>
      </c>
      <c r="C5209" t="str">
        <f>T("사냥꾼은 마왕이 되기 싫다 27화")</f>
        <v>사냥꾼은 마왕이 되기 싫다 27화</v>
      </c>
      <c r="D5209" t="str">
        <f>T("27")</f>
        <v>27</v>
      </c>
      <c r="E5209" t="str">
        <f t="shared" si="718"/>
        <v>강명운</v>
      </c>
      <c r="H5209" t="str">
        <f t="shared" si="719"/>
        <v>스토리아크</v>
      </c>
      <c r="I5209" t="str">
        <f t="shared" si="720"/>
        <v>사냥꾼은 마왕이 되기 싫다</v>
      </c>
      <c r="J5209">
        <v>100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R5209" t="str">
        <f t="shared" si="721"/>
        <v>0000000000000</v>
      </c>
      <c r="AT5209" t="str">
        <f t="shared" si="722"/>
        <v>9791191039269</v>
      </c>
      <c r="AV5209" t="str">
        <f t="shared" si="723"/>
        <v>판타지 웹소설 &gt; 정통 판타지</v>
      </c>
    </row>
    <row r="5210" spans="1:48" x14ac:dyDescent="0.4">
      <c r="A5210">
        <v>2313017461</v>
      </c>
      <c r="B5210">
        <v>2313017488</v>
      </c>
      <c r="C5210" t="str">
        <f>T("사냥꾼은 마왕이 되기 싫다 28화")</f>
        <v>사냥꾼은 마왕이 되기 싫다 28화</v>
      </c>
      <c r="D5210" t="str">
        <f>T("28")</f>
        <v>28</v>
      </c>
      <c r="E5210" t="str">
        <f t="shared" si="718"/>
        <v>강명운</v>
      </c>
      <c r="H5210" t="str">
        <f t="shared" si="719"/>
        <v>스토리아크</v>
      </c>
      <c r="I5210" t="str">
        <f t="shared" si="720"/>
        <v>사냥꾼은 마왕이 되기 싫다</v>
      </c>
      <c r="J5210">
        <v>100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R5210" t="str">
        <f t="shared" si="721"/>
        <v>0000000000000</v>
      </c>
      <c r="AT5210" t="str">
        <f t="shared" si="722"/>
        <v>9791191039269</v>
      </c>
      <c r="AV5210" t="str">
        <f t="shared" si="723"/>
        <v>판타지 웹소설 &gt; 정통 판타지</v>
      </c>
    </row>
    <row r="5211" spans="1:48" x14ac:dyDescent="0.4">
      <c r="A5211">
        <v>2313017461</v>
      </c>
      <c r="B5211">
        <v>2313017489</v>
      </c>
      <c r="C5211" t="str">
        <f>T("사냥꾼은 마왕이 되기 싫다 29화")</f>
        <v>사냥꾼은 마왕이 되기 싫다 29화</v>
      </c>
      <c r="D5211" t="str">
        <f>T("29")</f>
        <v>29</v>
      </c>
      <c r="E5211" t="str">
        <f t="shared" si="718"/>
        <v>강명운</v>
      </c>
      <c r="H5211" t="str">
        <f t="shared" si="719"/>
        <v>스토리아크</v>
      </c>
      <c r="I5211" t="str">
        <f t="shared" si="720"/>
        <v>사냥꾼은 마왕이 되기 싫다</v>
      </c>
      <c r="J5211">
        <v>100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R5211" t="str">
        <f t="shared" si="721"/>
        <v>0000000000000</v>
      </c>
      <c r="AT5211" t="str">
        <f t="shared" si="722"/>
        <v>9791191039269</v>
      </c>
      <c r="AV5211" t="str">
        <f t="shared" si="723"/>
        <v>판타지 웹소설 &gt; 정통 판타지</v>
      </c>
    </row>
    <row r="5212" spans="1:48" x14ac:dyDescent="0.4">
      <c r="A5212">
        <v>2313017461</v>
      </c>
      <c r="B5212">
        <v>2313017490</v>
      </c>
      <c r="C5212" t="str">
        <f>T("사냥꾼은 마왕이 되기 싫다 30화")</f>
        <v>사냥꾼은 마왕이 되기 싫다 30화</v>
      </c>
      <c r="D5212" t="str">
        <f>T("30")</f>
        <v>30</v>
      </c>
      <c r="E5212" t="str">
        <f t="shared" si="718"/>
        <v>강명운</v>
      </c>
      <c r="H5212" t="str">
        <f t="shared" si="719"/>
        <v>스토리아크</v>
      </c>
      <c r="I5212" t="str">
        <f t="shared" si="720"/>
        <v>사냥꾼은 마왕이 되기 싫다</v>
      </c>
      <c r="J5212">
        <v>100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R5212" t="str">
        <f t="shared" si="721"/>
        <v>0000000000000</v>
      </c>
      <c r="AT5212" t="str">
        <f t="shared" si="722"/>
        <v>9791191039269</v>
      </c>
      <c r="AV5212" t="str">
        <f t="shared" si="723"/>
        <v>판타지 웹소설 &gt; 정통 판타지</v>
      </c>
    </row>
    <row r="5213" spans="1:48" x14ac:dyDescent="0.4">
      <c r="A5213">
        <v>2313017461</v>
      </c>
      <c r="B5213">
        <v>2313017491</v>
      </c>
      <c r="C5213" t="str">
        <f>T("사냥꾼은 마왕이 되기 싫다 31화")</f>
        <v>사냥꾼은 마왕이 되기 싫다 31화</v>
      </c>
      <c r="D5213" t="str">
        <f>T("31")</f>
        <v>31</v>
      </c>
      <c r="E5213" t="str">
        <f t="shared" si="718"/>
        <v>강명운</v>
      </c>
      <c r="H5213" t="str">
        <f t="shared" si="719"/>
        <v>스토리아크</v>
      </c>
      <c r="I5213" t="str">
        <f t="shared" si="720"/>
        <v>사냥꾼은 마왕이 되기 싫다</v>
      </c>
      <c r="J5213">
        <v>100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R5213" t="str">
        <f t="shared" si="721"/>
        <v>0000000000000</v>
      </c>
      <c r="AT5213" t="str">
        <f t="shared" si="722"/>
        <v>9791191039269</v>
      </c>
      <c r="AV5213" t="str">
        <f t="shared" si="723"/>
        <v>판타지 웹소설 &gt; 정통 판타지</v>
      </c>
    </row>
    <row r="5214" spans="1:48" x14ac:dyDescent="0.4">
      <c r="A5214">
        <v>2313017461</v>
      </c>
      <c r="B5214">
        <v>2313017492</v>
      </c>
      <c r="C5214" t="str">
        <f>T("사냥꾼은 마왕이 되기 싫다 32화")</f>
        <v>사냥꾼은 마왕이 되기 싫다 32화</v>
      </c>
      <c r="D5214" t="str">
        <f>T("32")</f>
        <v>32</v>
      </c>
      <c r="E5214" t="str">
        <f t="shared" si="718"/>
        <v>강명운</v>
      </c>
      <c r="H5214" t="str">
        <f t="shared" si="719"/>
        <v>스토리아크</v>
      </c>
      <c r="I5214" t="str">
        <f t="shared" si="720"/>
        <v>사냥꾼은 마왕이 되기 싫다</v>
      </c>
      <c r="J5214">
        <v>100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R5214" t="str">
        <f t="shared" si="721"/>
        <v>0000000000000</v>
      </c>
      <c r="AT5214" t="str">
        <f t="shared" si="722"/>
        <v>9791191039269</v>
      </c>
      <c r="AV5214" t="str">
        <f t="shared" si="723"/>
        <v>판타지 웹소설 &gt; 정통 판타지</v>
      </c>
    </row>
    <row r="5215" spans="1:48" x14ac:dyDescent="0.4">
      <c r="A5215">
        <v>2313017461</v>
      </c>
      <c r="B5215">
        <v>2313017493</v>
      </c>
      <c r="C5215" t="str">
        <f>T("사냥꾼은 마왕이 되기 싫다 33화")</f>
        <v>사냥꾼은 마왕이 되기 싫다 33화</v>
      </c>
      <c r="D5215" t="str">
        <f>T("33")</f>
        <v>33</v>
      </c>
      <c r="E5215" t="str">
        <f t="shared" si="718"/>
        <v>강명운</v>
      </c>
      <c r="H5215" t="str">
        <f t="shared" si="719"/>
        <v>스토리아크</v>
      </c>
      <c r="I5215" t="str">
        <f t="shared" si="720"/>
        <v>사냥꾼은 마왕이 되기 싫다</v>
      </c>
      <c r="J5215">
        <v>100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R5215" t="str">
        <f t="shared" si="721"/>
        <v>0000000000000</v>
      </c>
      <c r="AT5215" t="str">
        <f t="shared" si="722"/>
        <v>9791191039269</v>
      </c>
      <c r="AV5215" t="str">
        <f t="shared" si="723"/>
        <v>판타지 웹소설 &gt; 정통 판타지</v>
      </c>
    </row>
    <row r="5216" spans="1:48" x14ac:dyDescent="0.4">
      <c r="A5216">
        <v>2313017461</v>
      </c>
      <c r="B5216">
        <v>2313017494</v>
      </c>
      <c r="C5216" t="str">
        <f>T("사냥꾼은 마왕이 되기 싫다 34화")</f>
        <v>사냥꾼은 마왕이 되기 싫다 34화</v>
      </c>
      <c r="D5216" t="str">
        <f>T("34")</f>
        <v>34</v>
      </c>
      <c r="E5216" t="str">
        <f t="shared" si="718"/>
        <v>강명운</v>
      </c>
      <c r="H5216" t="str">
        <f t="shared" si="719"/>
        <v>스토리아크</v>
      </c>
      <c r="I5216" t="str">
        <f t="shared" si="720"/>
        <v>사냥꾼은 마왕이 되기 싫다</v>
      </c>
      <c r="J5216">
        <v>100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R5216" t="str">
        <f t="shared" si="721"/>
        <v>0000000000000</v>
      </c>
      <c r="AT5216" t="str">
        <f t="shared" si="722"/>
        <v>9791191039269</v>
      </c>
      <c r="AV5216" t="str">
        <f t="shared" si="723"/>
        <v>판타지 웹소설 &gt; 정통 판타지</v>
      </c>
    </row>
    <row r="5217" spans="1:48" x14ac:dyDescent="0.4">
      <c r="A5217">
        <v>2313017461</v>
      </c>
      <c r="B5217">
        <v>2313017495</v>
      </c>
      <c r="C5217" t="str">
        <f>T("사냥꾼은 마왕이 되기 싫다 35화")</f>
        <v>사냥꾼은 마왕이 되기 싫다 35화</v>
      </c>
      <c r="D5217" t="str">
        <f>T("35")</f>
        <v>35</v>
      </c>
      <c r="E5217" t="str">
        <f t="shared" si="718"/>
        <v>강명운</v>
      </c>
      <c r="H5217" t="str">
        <f t="shared" si="719"/>
        <v>스토리아크</v>
      </c>
      <c r="I5217" t="str">
        <f t="shared" si="720"/>
        <v>사냥꾼은 마왕이 되기 싫다</v>
      </c>
      <c r="J5217">
        <v>100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R5217" t="str">
        <f t="shared" si="721"/>
        <v>0000000000000</v>
      </c>
      <c r="AT5217" t="str">
        <f t="shared" si="722"/>
        <v>9791191039269</v>
      </c>
      <c r="AV5217" t="str">
        <f t="shared" si="723"/>
        <v>판타지 웹소설 &gt; 정통 판타지</v>
      </c>
    </row>
    <row r="5218" spans="1:48" x14ac:dyDescent="0.4">
      <c r="A5218">
        <v>2313017461</v>
      </c>
      <c r="B5218">
        <v>2313017496</v>
      </c>
      <c r="C5218" t="str">
        <f>T("사냥꾼은 마왕이 되기 싫다 36화")</f>
        <v>사냥꾼은 마왕이 되기 싫다 36화</v>
      </c>
      <c r="D5218" t="str">
        <f>T("36")</f>
        <v>36</v>
      </c>
      <c r="E5218" t="str">
        <f t="shared" si="718"/>
        <v>강명운</v>
      </c>
      <c r="H5218" t="str">
        <f t="shared" si="719"/>
        <v>스토리아크</v>
      </c>
      <c r="I5218" t="str">
        <f t="shared" si="720"/>
        <v>사냥꾼은 마왕이 되기 싫다</v>
      </c>
      <c r="J5218">
        <v>100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R5218" t="str">
        <f t="shared" si="721"/>
        <v>0000000000000</v>
      </c>
      <c r="AT5218" t="str">
        <f t="shared" si="722"/>
        <v>9791191039269</v>
      </c>
      <c r="AV5218" t="str">
        <f t="shared" si="723"/>
        <v>판타지 웹소설 &gt; 정통 판타지</v>
      </c>
    </row>
    <row r="5219" spans="1:48" x14ac:dyDescent="0.4">
      <c r="A5219">
        <v>2313017461</v>
      </c>
      <c r="B5219">
        <v>2313017497</v>
      </c>
      <c r="C5219" t="str">
        <f>T("사냥꾼은 마왕이 되기 싫다 37화")</f>
        <v>사냥꾼은 마왕이 되기 싫다 37화</v>
      </c>
      <c r="D5219" t="str">
        <f>T("37")</f>
        <v>37</v>
      </c>
      <c r="E5219" t="str">
        <f t="shared" si="718"/>
        <v>강명운</v>
      </c>
      <c r="H5219" t="str">
        <f t="shared" si="719"/>
        <v>스토리아크</v>
      </c>
      <c r="I5219" t="str">
        <f t="shared" si="720"/>
        <v>사냥꾼은 마왕이 되기 싫다</v>
      </c>
      <c r="J5219">
        <v>100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R5219" t="str">
        <f t="shared" si="721"/>
        <v>0000000000000</v>
      </c>
      <c r="AT5219" t="str">
        <f t="shared" si="722"/>
        <v>9791191039269</v>
      </c>
      <c r="AV5219" t="str">
        <f t="shared" si="723"/>
        <v>판타지 웹소설 &gt; 정통 판타지</v>
      </c>
    </row>
    <row r="5220" spans="1:48" x14ac:dyDescent="0.4">
      <c r="A5220">
        <v>2313017461</v>
      </c>
      <c r="B5220">
        <v>2313017498</v>
      </c>
      <c r="C5220" t="str">
        <f>T("사냥꾼은 마왕이 되기 싫다 38화")</f>
        <v>사냥꾼은 마왕이 되기 싫다 38화</v>
      </c>
      <c r="D5220" t="str">
        <f>T("38")</f>
        <v>38</v>
      </c>
      <c r="E5220" t="str">
        <f t="shared" si="718"/>
        <v>강명운</v>
      </c>
      <c r="H5220" t="str">
        <f t="shared" si="719"/>
        <v>스토리아크</v>
      </c>
      <c r="I5220" t="str">
        <f t="shared" si="720"/>
        <v>사냥꾼은 마왕이 되기 싫다</v>
      </c>
      <c r="J5220">
        <v>100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R5220" t="str">
        <f t="shared" si="721"/>
        <v>0000000000000</v>
      </c>
      <c r="AT5220" t="str">
        <f t="shared" si="722"/>
        <v>9791191039269</v>
      </c>
      <c r="AV5220" t="str">
        <f t="shared" si="723"/>
        <v>판타지 웹소설 &gt; 정통 판타지</v>
      </c>
    </row>
    <row r="5221" spans="1:48" x14ac:dyDescent="0.4">
      <c r="A5221">
        <v>2313017461</v>
      </c>
      <c r="B5221">
        <v>2313017499</v>
      </c>
      <c r="C5221" t="str">
        <f>T("사냥꾼은 마왕이 되기 싫다 39화")</f>
        <v>사냥꾼은 마왕이 되기 싫다 39화</v>
      </c>
      <c r="D5221" t="str">
        <f>T("39")</f>
        <v>39</v>
      </c>
      <c r="E5221" t="str">
        <f t="shared" si="718"/>
        <v>강명운</v>
      </c>
      <c r="H5221" t="str">
        <f t="shared" si="719"/>
        <v>스토리아크</v>
      </c>
      <c r="I5221" t="str">
        <f t="shared" si="720"/>
        <v>사냥꾼은 마왕이 되기 싫다</v>
      </c>
      <c r="J5221">
        <v>100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R5221" t="str">
        <f t="shared" si="721"/>
        <v>0000000000000</v>
      </c>
      <c r="AT5221" t="str">
        <f t="shared" si="722"/>
        <v>9791191039269</v>
      </c>
      <c r="AV5221" t="str">
        <f t="shared" si="723"/>
        <v>판타지 웹소설 &gt; 정통 판타지</v>
      </c>
    </row>
    <row r="5222" spans="1:48" x14ac:dyDescent="0.4">
      <c r="A5222">
        <v>2313017461</v>
      </c>
      <c r="B5222">
        <v>2313017500</v>
      </c>
      <c r="C5222" t="str">
        <f>T("사냥꾼은 마왕이 되기 싫다 40화")</f>
        <v>사냥꾼은 마왕이 되기 싫다 40화</v>
      </c>
      <c r="D5222" t="str">
        <f>T("40")</f>
        <v>40</v>
      </c>
      <c r="E5222" t="str">
        <f t="shared" si="718"/>
        <v>강명운</v>
      </c>
      <c r="H5222" t="str">
        <f t="shared" si="719"/>
        <v>스토리아크</v>
      </c>
      <c r="I5222" t="str">
        <f t="shared" si="720"/>
        <v>사냥꾼은 마왕이 되기 싫다</v>
      </c>
      <c r="J5222">
        <v>100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R5222" t="str">
        <f t="shared" si="721"/>
        <v>0000000000000</v>
      </c>
      <c r="AT5222" t="str">
        <f t="shared" si="722"/>
        <v>9791191039269</v>
      </c>
      <c r="AV5222" t="str">
        <f t="shared" si="723"/>
        <v>판타지 웹소설 &gt; 정통 판타지</v>
      </c>
    </row>
    <row r="5223" spans="1:48" x14ac:dyDescent="0.4">
      <c r="A5223">
        <v>2313017461</v>
      </c>
      <c r="B5223">
        <v>2313017636</v>
      </c>
      <c r="C5223" t="str">
        <f>T("사냥꾼은 마왕이 되기 싫다 176화")</f>
        <v>사냥꾼은 마왕이 되기 싫다 176화</v>
      </c>
      <c r="D5223" t="str">
        <f>T("176")</f>
        <v>176</v>
      </c>
      <c r="E5223" t="str">
        <f t="shared" si="718"/>
        <v>강명운</v>
      </c>
      <c r="H5223" t="str">
        <f t="shared" si="719"/>
        <v>스토리아크</v>
      </c>
      <c r="I5223" t="str">
        <f t="shared" si="720"/>
        <v>사냥꾼은 마왕이 되기 싫다</v>
      </c>
      <c r="J5223">
        <v>100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R5223" t="str">
        <f t="shared" si="721"/>
        <v>0000000000000</v>
      </c>
      <c r="AT5223" t="str">
        <f t="shared" si="722"/>
        <v>9791191039269</v>
      </c>
      <c r="AV5223" t="str">
        <f t="shared" si="723"/>
        <v>판타지 웹소설 &gt; 정통 판타지</v>
      </c>
    </row>
    <row r="5224" spans="1:48" x14ac:dyDescent="0.4">
      <c r="A5224">
        <v>2313017461</v>
      </c>
      <c r="B5224">
        <v>2313017637</v>
      </c>
      <c r="C5224" t="str">
        <f>T("사냥꾼은 마왕이 되기 싫다 177화")</f>
        <v>사냥꾼은 마왕이 되기 싫다 177화</v>
      </c>
      <c r="D5224" t="str">
        <f>T("177")</f>
        <v>177</v>
      </c>
      <c r="E5224" t="str">
        <f t="shared" si="718"/>
        <v>강명운</v>
      </c>
      <c r="H5224" t="str">
        <f t="shared" si="719"/>
        <v>스토리아크</v>
      </c>
      <c r="I5224" t="str">
        <f t="shared" si="720"/>
        <v>사냥꾼은 마왕이 되기 싫다</v>
      </c>
      <c r="J5224">
        <v>100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R5224" t="str">
        <f t="shared" si="721"/>
        <v>0000000000000</v>
      </c>
      <c r="AT5224" t="str">
        <f t="shared" si="722"/>
        <v>9791191039269</v>
      </c>
      <c r="AV5224" t="str">
        <f t="shared" si="723"/>
        <v>판타지 웹소설 &gt; 정통 판타지</v>
      </c>
    </row>
    <row r="5225" spans="1:48" x14ac:dyDescent="0.4">
      <c r="A5225">
        <v>2313017646</v>
      </c>
      <c r="B5225">
        <v>2313017646</v>
      </c>
      <c r="C5225" t="str">
        <f>T("소울 슈터 1화")</f>
        <v>소울 슈터 1화</v>
      </c>
      <c r="D5225" t="str">
        <f>T("1")</f>
        <v>1</v>
      </c>
      <c r="E5225" t="str">
        <f>T("라이큐")</f>
        <v>라이큐</v>
      </c>
      <c r="H5225" t="str">
        <f t="shared" si="719"/>
        <v>스토리아크</v>
      </c>
      <c r="I5225" t="str">
        <f>T("소울 슈터")</f>
        <v>소울 슈터</v>
      </c>
      <c r="J5225">
        <v>0</v>
      </c>
      <c r="K5225">
        <v>0</v>
      </c>
      <c r="L5225">
        <v>0</v>
      </c>
      <c r="M5225">
        <v>60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60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R5225" t="str">
        <f t="shared" si="721"/>
        <v>0000000000000</v>
      </c>
      <c r="AT5225" t="str">
        <f>T("9791191039078")</f>
        <v>9791191039078</v>
      </c>
      <c r="AV5225" t="str">
        <f t="shared" si="723"/>
        <v>판타지 웹소설 &gt; 정통 판타지</v>
      </c>
    </row>
    <row r="5226" spans="1:48" x14ac:dyDescent="0.4">
      <c r="A5226">
        <v>2313017648</v>
      </c>
      <c r="B5226">
        <v>2313017648</v>
      </c>
      <c r="C5226" t="str">
        <f>T("[e북]올마스터가 된 비전서고 1권")</f>
        <v>[e북]올마스터가 된 비전서고 1권</v>
      </c>
      <c r="D5226" t="str">
        <f>T("1")</f>
        <v>1</v>
      </c>
      <c r="E5226" t="str">
        <f>T("글면증")</f>
        <v>글면증</v>
      </c>
      <c r="H5226" t="str">
        <f t="shared" ref="H5226:H5251" si="724">T("스토리위즈")</f>
        <v>스토리위즈</v>
      </c>
      <c r="I5226" t="str">
        <f>T("[e북]올마스터가 된 비전서고")</f>
        <v>[e북]올마스터가 된 비전서고</v>
      </c>
      <c r="J5226">
        <v>0</v>
      </c>
      <c r="K5226">
        <v>0</v>
      </c>
      <c r="L5226">
        <v>0</v>
      </c>
      <c r="M5226">
        <v>383</v>
      </c>
      <c r="N5226">
        <v>0</v>
      </c>
      <c r="O5226">
        <v>0</v>
      </c>
      <c r="P5226">
        <v>82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465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R5226" t="str">
        <f t="shared" si="721"/>
        <v>0000000000000</v>
      </c>
      <c r="AT5226" t="str">
        <f>T("9791137604308")</f>
        <v>9791137604308</v>
      </c>
      <c r="AV5226" t="str">
        <f>T("판타지 e북 &gt; 퓨전 판타지")</f>
        <v>판타지 e북 &gt; 퓨전 판타지</v>
      </c>
    </row>
    <row r="5227" spans="1:48" x14ac:dyDescent="0.4">
      <c r="A5227">
        <v>2313017657</v>
      </c>
      <c r="B5227">
        <v>2313017657</v>
      </c>
      <c r="C5227" t="str">
        <f>T("회귀자의 슬기로운 복수생활 1화")</f>
        <v>회귀자의 슬기로운 복수생활 1화</v>
      </c>
      <c r="D5227" t="str">
        <f>T("1")</f>
        <v>1</v>
      </c>
      <c r="E5227" t="str">
        <f t="shared" ref="E5227:E5251" si="725">T("구공")</f>
        <v>구공</v>
      </c>
      <c r="H5227" t="str">
        <f t="shared" si="724"/>
        <v>스토리위즈</v>
      </c>
      <c r="I5227" t="str">
        <f t="shared" ref="I5227:I5251" si="726">T("회귀자의 슬기로운 복수생활")</f>
        <v>회귀자의 슬기로운 복수생활</v>
      </c>
      <c r="J5227">
        <v>0</v>
      </c>
      <c r="K5227">
        <v>0</v>
      </c>
      <c r="L5227">
        <v>0</v>
      </c>
      <c r="M5227">
        <v>743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743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T5227" t="str">
        <f t="shared" ref="AT5227:AT5251" si="727">T("9791137601710")</f>
        <v>9791137601710</v>
      </c>
      <c r="AV5227" t="str">
        <f t="shared" ref="AV5227:AV5251" si="728">T("판타지 웹소설 &gt; 퓨전 판타지")</f>
        <v>판타지 웹소설 &gt; 퓨전 판타지</v>
      </c>
    </row>
    <row r="5228" spans="1:48" x14ac:dyDescent="0.4">
      <c r="A5228">
        <v>2313017657</v>
      </c>
      <c r="B5228">
        <v>2313017658</v>
      </c>
      <c r="C5228" t="str">
        <f>T("회귀자의 슬기로운 복수생활 2화")</f>
        <v>회귀자의 슬기로운 복수생활 2화</v>
      </c>
      <c r="D5228" t="str">
        <f>T("2")</f>
        <v>2</v>
      </c>
      <c r="E5228" t="str">
        <f t="shared" si="725"/>
        <v>구공</v>
      </c>
      <c r="H5228" t="str">
        <f t="shared" si="724"/>
        <v>스토리위즈</v>
      </c>
      <c r="I5228" t="str">
        <f t="shared" si="726"/>
        <v>회귀자의 슬기로운 복수생활</v>
      </c>
      <c r="J5228">
        <v>0</v>
      </c>
      <c r="K5228">
        <v>0</v>
      </c>
      <c r="L5228">
        <v>0</v>
      </c>
      <c r="M5228">
        <v>679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679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T5228" t="str">
        <f t="shared" si="727"/>
        <v>9791137601710</v>
      </c>
      <c r="AV5228" t="str">
        <f t="shared" si="728"/>
        <v>판타지 웹소설 &gt; 퓨전 판타지</v>
      </c>
    </row>
    <row r="5229" spans="1:48" x14ac:dyDescent="0.4">
      <c r="A5229">
        <v>2313017657</v>
      </c>
      <c r="B5229">
        <v>2313017659</v>
      </c>
      <c r="C5229" t="str">
        <f>T("회귀자의 슬기로운 복수생활 3화")</f>
        <v>회귀자의 슬기로운 복수생활 3화</v>
      </c>
      <c r="D5229" t="str">
        <f>T("3")</f>
        <v>3</v>
      </c>
      <c r="E5229" t="str">
        <f t="shared" si="725"/>
        <v>구공</v>
      </c>
      <c r="H5229" t="str">
        <f t="shared" si="724"/>
        <v>스토리위즈</v>
      </c>
      <c r="I5229" t="str">
        <f t="shared" si="726"/>
        <v>회귀자의 슬기로운 복수생활</v>
      </c>
      <c r="J5229">
        <v>0</v>
      </c>
      <c r="K5229">
        <v>0</v>
      </c>
      <c r="L5229">
        <v>0</v>
      </c>
      <c r="M5229">
        <v>651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651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T5229" t="str">
        <f t="shared" si="727"/>
        <v>9791137601710</v>
      </c>
      <c r="AV5229" t="str">
        <f t="shared" si="728"/>
        <v>판타지 웹소설 &gt; 퓨전 판타지</v>
      </c>
    </row>
    <row r="5230" spans="1:48" x14ac:dyDescent="0.4">
      <c r="A5230">
        <v>2313017657</v>
      </c>
      <c r="B5230">
        <v>2313017660</v>
      </c>
      <c r="C5230" t="str">
        <f>T("회귀자의 슬기로운 복수생활 4화")</f>
        <v>회귀자의 슬기로운 복수생활 4화</v>
      </c>
      <c r="D5230" t="str">
        <f>T("4")</f>
        <v>4</v>
      </c>
      <c r="E5230" t="str">
        <f t="shared" si="725"/>
        <v>구공</v>
      </c>
      <c r="H5230" t="str">
        <f t="shared" si="724"/>
        <v>스토리위즈</v>
      </c>
      <c r="I5230" t="str">
        <f t="shared" si="726"/>
        <v>회귀자의 슬기로운 복수생활</v>
      </c>
      <c r="J5230">
        <v>0</v>
      </c>
      <c r="K5230">
        <v>0</v>
      </c>
      <c r="L5230">
        <v>0</v>
      </c>
      <c r="M5230">
        <v>639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639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T5230" t="str">
        <f t="shared" si="727"/>
        <v>9791137601710</v>
      </c>
      <c r="AV5230" t="str">
        <f t="shared" si="728"/>
        <v>판타지 웹소설 &gt; 퓨전 판타지</v>
      </c>
    </row>
    <row r="5231" spans="1:48" x14ac:dyDescent="0.4">
      <c r="A5231">
        <v>2313017657</v>
      </c>
      <c r="B5231">
        <v>2313017661</v>
      </c>
      <c r="C5231" t="str">
        <f>T("회귀자의 슬기로운 복수생활 5화")</f>
        <v>회귀자의 슬기로운 복수생활 5화</v>
      </c>
      <c r="D5231" t="str">
        <f>T("5")</f>
        <v>5</v>
      </c>
      <c r="E5231" t="str">
        <f t="shared" si="725"/>
        <v>구공</v>
      </c>
      <c r="H5231" t="str">
        <f t="shared" si="724"/>
        <v>스토리위즈</v>
      </c>
      <c r="I5231" t="str">
        <f t="shared" si="726"/>
        <v>회귀자의 슬기로운 복수생활</v>
      </c>
      <c r="J5231">
        <v>0</v>
      </c>
      <c r="K5231">
        <v>0</v>
      </c>
      <c r="L5231">
        <v>0</v>
      </c>
      <c r="M5231">
        <v>613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613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T5231" t="str">
        <f t="shared" si="727"/>
        <v>9791137601710</v>
      </c>
      <c r="AV5231" t="str">
        <f t="shared" si="728"/>
        <v>판타지 웹소설 &gt; 퓨전 판타지</v>
      </c>
    </row>
    <row r="5232" spans="1:48" x14ac:dyDescent="0.4">
      <c r="A5232">
        <v>2313017657</v>
      </c>
      <c r="B5232">
        <v>2313017662</v>
      </c>
      <c r="C5232" t="str">
        <f>T("회귀자의 슬기로운 복수생활 6화")</f>
        <v>회귀자의 슬기로운 복수생활 6화</v>
      </c>
      <c r="D5232" t="str">
        <f>T("6")</f>
        <v>6</v>
      </c>
      <c r="E5232" t="str">
        <f t="shared" si="725"/>
        <v>구공</v>
      </c>
      <c r="H5232" t="str">
        <f t="shared" si="724"/>
        <v>스토리위즈</v>
      </c>
      <c r="I5232" t="str">
        <f t="shared" si="726"/>
        <v>회귀자의 슬기로운 복수생활</v>
      </c>
      <c r="J5232">
        <v>0</v>
      </c>
      <c r="K5232">
        <v>0</v>
      </c>
      <c r="L5232">
        <v>0</v>
      </c>
      <c r="M5232">
        <v>603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603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T5232" t="str">
        <f t="shared" si="727"/>
        <v>9791137601710</v>
      </c>
      <c r="AV5232" t="str">
        <f t="shared" si="728"/>
        <v>판타지 웹소설 &gt; 퓨전 판타지</v>
      </c>
    </row>
    <row r="5233" spans="1:48" x14ac:dyDescent="0.4">
      <c r="A5233">
        <v>2313017657</v>
      </c>
      <c r="B5233">
        <v>2313017663</v>
      </c>
      <c r="C5233" t="str">
        <f>T("회귀자의 슬기로운 복수생활 7화")</f>
        <v>회귀자의 슬기로운 복수생활 7화</v>
      </c>
      <c r="D5233" t="str">
        <f>T("7")</f>
        <v>7</v>
      </c>
      <c r="E5233" t="str">
        <f t="shared" si="725"/>
        <v>구공</v>
      </c>
      <c r="H5233" t="str">
        <f t="shared" si="724"/>
        <v>스토리위즈</v>
      </c>
      <c r="I5233" t="str">
        <f t="shared" si="726"/>
        <v>회귀자의 슬기로운 복수생활</v>
      </c>
      <c r="J5233">
        <v>0</v>
      </c>
      <c r="K5233">
        <v>0</v>
      </c>
      <c r="L5233">
        <v>0</v>
      </c>
      <c r="M5233">
        <v>586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586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T5233" t="str">
        <f t="shared" si="727"/>
        <v>9791137601710</v>
      </c>
      <c r="AV5233" t="str">
        <f t="shared" si="728"/>
        <v>판타지 웹소설 &gt; 퓨전 판타지</v>
      </c>
    </row>
    <row r="5234" spans="1:48" x14ac:dyDescent="0.4">
      <c r="A5234">
        <v>2313017657</v>
      </c>
      <c r="B5234">
        <v>2313017664</v>
      </c>
      <c r="C5234" t="str">
        <f>T("회귀자의 슬기로운 복수생활 8화")</f>
        <v>회귀자의 슬기로운 복수생활 8화</v>
      </c>
      <c r="D5234" t="str">
        <f>T("8")</f>
        <v>8</v>
      </c>
      <c r="E5234" t="str">
        <f t="shared" si="725"/>
        <v>구공</v>
      </c>
      <c r="H5234" t="str">
        <f t="shared" si="724"/>
        <v>스토리위즈</v>
      </c>
      <c r="I5234" t="str">
        <f t="shared" si="726"/>
        <v>회귀자의 슬기로운 복수생활</v>
      </c>
      <c r="J5234">
        <v>0</v>
      </c>
      <c r="K5234">
        <v>0</v>
      </c>
      <c r="L5234">
        <v>0</v>
      </c>
      <c r="M5234">
        <v>566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566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T5234" t="str">
        <f t="shared" si="727"/>
        <v>9791137601710</v>
      </c>
      <c r="AV5234" t="str">
        <f t="shared" si="728"/>
        <v>판타지 웹소설 &gt; 퓨전 판타지</v>
      </c>
    </row>
    <row r="5235" spans="1:48" x14ac:dyDescent="0.4">
      <c r="A5235">
        <v>2313017657</v>
      </c>
      <c r="B5235">
        <v>2313017665</v>
      </c>
      <c r="C5235" t="str">
        <f>T("회귀자의 슬기로운 복수생활 9화")</f>
        <v>회귀자의 슬기로운 복수생활 9화</v>
      </c>
      <c r="D5235" t="str">
        <f>T("9")</f>
        <v>9</v>
      </c>
      <c r="E5235" t="str">
        <f t="shared" si="725"/>
        <v>구공</v>
      </c>
      <c r="H5235" t="str">
        <f t="shared" si="724"/>
        <v>스토리위즈</v>
      </c>
      <c r="I5235" t="str">
        <f t="shared" si="726"/>
        <v>회귀자의 슬기로운 복수생활</v>
      </c>
      <c r="J5235">
        <v>0</v>
      </c>
      <c r="K5235">
        <v>0</v>
      </c>
      <c r="L5235">
        <v>0</v>
      </c>
      <c r="M5235">
        <v>549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549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T5235" t="str">
        <f t="shared" si="727"/>
        <v>9791137601710</v>
      </c>
      <c r="AV5235" t="str">
        <f t="shared" si="728"/>
        <v>판타지 웹소설 &gt; 퓨전 판타지</v>
      </c>
    </row>
    <row r="5236" spans="1:48" x14ac:dyDescent="0.4">
      <c r="A5236">
        <v>2313017657</v>
      </c>
      <c r="B5236">
        <v>2313017666</v>
      </c>
      <c r="C5236" t="str">
        <f>T("회귀자의 슬기로운 복수생활 10화")</f>
        <v>회귀자의 슬기로운 복수생활 10화</v>
      </c>
      <c r="D5236" t="str">
        <f>T("10")</f>
        <v>10</v>
      </c>
      <c r="E5236" t="str">
        <f t="shared" si="725"/>
        <v>구공</v>
      </c>
      <c r="H5236" t="str">
        <f t="shared" si="724"/>
        <v>스토리위즈</v>
      </c>
      <c r="I5236" t="str">
        <f t="shared" si="726"/>
        <v>회귀자의 슬기로운 복수생활</v>
      </c>
      <c r="J5236">
        <v>0</v>
      </c>
      <c r="K5236">
        <v>0</v>
      </c>
      <c r="L5236">
        <v>0</v>
      </c>
      <c r="M5236">
        <v>537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537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T5236" t="str">
        <f t="shared" si="727"/>
        <v>9791137601710</v>
      </c>
      <c r="AV5236" t="str">
        <f t="shared" si="728"/>
        <v>판타지 웹소설 &gt; 퓨전 판타지</v>
      </c>
    </row>
    <row r="5237" spans="1:48" x14ac:dyDescent="0.4">
      <c r="A5237">
        <v>2313017657</v>
      </c>
      <c r="B5237">
        <v>2313017667</v>
      </c>
      <c r="C5237" t="str">
        <f>T("회귀자의 슬기로운 복수생활 11화")</f>
        <v>회귀자의 슬기로운 복수생활 11화</v>
      </c>
      <c r="D5237" t="str">
        <f>T("11")</f>
        <v>11</v>
      </c>
      <c r="E5237" t="str">
        <f t="shared" si="725"/>
        <v>구공</v>
      </c>
      <c r="H5237" t="str">
        <f t="shared" si="724"/>
        <v>스토리위즈</v>
      </c>
      <c r="I5237" t="str">
        <f t="shared" si="726"/>
        <v>회귀자의 슬기로운 복수생활</v>
      </c>
      <c r="J5237">
        <v>0</v>
      </c>
      <c r="K5237">
        <v>0</v>
      </c>
      <c r="L5237">
        <v>0</v>
      </c>
      <c r="M5237">
        <v>473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473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T5237" t="str">
        <f t="shared" si="727"/>
        <v>9791137601710</v>
      </c>
      <c r="AV5237" t="str">
        <f t="shared" si="728"/>
        <v>판타지 웹소설 &gt; 퓨전 판타지</v>
      </c>
    </row>
    <row r="5238" spans="1:48" x14ac:dyDescent="0.4">
      <c r="A5238">
        <v>2313017657</v>
      </c>
      <c r="B5238">
        <v>2313017668</v>
      </c>
      <c r="C5238" t="str">
        <f>T("회귀자의 슬기로운 복수생활 12화")</f>
        <v>회귀자의 슬기로운 복수생활 12화</v>
      </c>
      <c r="D5238" t="str">
        <f>T("12")</f>
        <v>12</v>
      </c>
      <c r="E5238" t="str">
        <f t="shared" si="725"/>
        <v>구공</v>
      </c>
      <c r="H5238" t="str">
        <f t="shared" si="724"/>
        <v>스토리위즈</v>
      </c>
      <c r="I5238" t="str">
        <f t="shared" si="726"/>
        <v>회귀자의 슬기로운 복수생활</v>
      </c>
      <c r="J5238">
        <v>0</v>
      </c>
      <c r="K5238">
        <v>0</v>
      </c>
      <c r="L5238">
        <v>0</v>
      </c>
      <c r="M5238">
        <v>445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445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T5238" t="str">
        <f t="shared" si="727"/>
        <v>9791137601710</v>
      </c>
      <c r="AV5238" t="str">
        <f t="shared" si="728"/>
        <v>판타지 웹소설 &gt; 퓨전 판타지</v>
      </c>
    </row>
    <row r="5239" spans="1:48" x14ac:dyDescent="0.4">
      <c r="A5239">
        <v>2313017657</v>
      </c>
      <c r="B5239">
        <v>2313017669</v>
      </c>
      <c r="C5239" t="str">
        <f>T("회귀자의 슬기로운 복수생활 13화")</f>
        <v>회귀자의 슬기로운 복수생활 13화</v>
      </c>
      <c r="D5239" t="str">
        <f>T("13")</f>
        <v>13</v>
      </c>
      <c r="E5239" t="str">
        <f t="shared" si="725"/>
        <v>구공</v>
      </c>
      <c r="H5239" t="str">
        <f t="shared" si="724"/>
        <v>스토리위즈</v>
      </c>
      <c r="I5239" t="str">
        <f t="shared" si="726"/>
        <v>회귀자의 슬기로운 복수생활</v>
      </c>
      <c r="J5239">
        <v>0</v>
      </c>
      <c r="K5239">
        <v>0</v>
      </c>
      <c r="L5239">
        <v>0</v>
      </c>
      <c r="M5239">
        <v>441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441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T5239" t="str">
        <f t="shared" si="727"/>
        <v>9791137601710</v>
      </c>
      <c r="AV5239" t="str">
        <f t="shared" si="728"/>
        <v>판타지 웹소설 &gt; 퓨전 판타지</v>
      </c>
    </row>
    <row r="5240" spans="1:48" x14ac:dyDescent="0.4">
      <c r="A5240">
        <v>2313017657</v>
      </c>
      <c r="B5240">
        <v>2313017670</v>
      </c>
      <c r="C5240" t="str">
        <f>T("회귀자의 슬기로운 복수생활 14화")</f>
        <v>회귀자의 슬기로운 복수생활 14화</v>
      </c>
      <c r="D5240" t="str">
        <f>T("14")</f>
        <v>14</v>
      </c>
      <c r="E5240" t="str">
        <f t="shared" si="725"/>
        <v>구공</v>
      </c>
      <c r="H5240" t="str">
        <f t="shared" si="724"/>
        <v>스토리위즈</v>
      </c>
      <c r="I5240" t="str">
        <f t="shared" si="726"/>
        <v>회귀자의 슬기로운 복수생활</v>
      </c>
      <c r="J5240">
        <v>0</v>
      </c>
      <c r="K5240">
        <v>0</v>
      </c>
      <c r="L5240">
        <v>0</v>
      </c>
      <c r="M5240">
        <v>428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428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T5240" t="str">
        <f t="shared" si="727"/>
        <v>9791137601710</v>
      </c>
      <c r="AV5240" t="str">
        <f t="shared" si="728"/>
        <v>판타지 웹소설 &gt; 퓨전 판타지</v>
      </c>
    </row>
    <row r="5241" spans="1:48" x14ac:dyDescent="0.4">
      <c r="A5241">
        <v>2313017657</v>
      </c>
      <c r="B5241">
        <v>2313017671</v>
      </c>
      <c r="C5241" t="str">
        <f>T("회귀자의 슬기로운 복수생활 15화")</f>
        <v>회귀자의 슬기로운 복수생활 15화</v>
      </c>
      <c r="D5241" t="str">
        <f>T("15")</f>
        <v>15</v>
      </c>
      <c r="E5241" t="str">
        <f t="shared" si="725"/>
        <v>구공</v>
      </c>
      <c r="H5241" t="str">
        <f t="shared" si="724"/>
        <v>스토리위즈</v>
      </c>
      <c r="I5241" t="str">
        <f t="shared" si="726"/>
        <v>회귀자의 슬기로운 복수생활</v>
      </c>
      <c r="J5241">
        <v>0</v>
      </c>
      <c r="K5241">
        <v>0</v>
      </c>
      <c r="L5241">
        <v>0</v>
      </c>
      <c r="M5241">
        <v>412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412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T5241" t="str">
        <f t="shared" si="727"/>
        <v>9791137601710</v>
      </c>
      <c r="AV5241" t="str">
        <f t="shared" si="728"/>
        <v>판타지 웹소설 &gt; 퓨전 판타지</v>
      </c>
    </row>
    <row r="5242" spans="1:48" x14ac:dyDescent="0.4">
      <c r="A5242">
        <v>2313017657</v>
      </c>
      <c r="B5242">
        <v>2313017672</v>
      </c>
      <c r="C5242" t="str">
        <f>T("회귀자의 슬기로운 복수생활 16화")</f>
        <v>회귀자의 슬기로운 복수생활 16화</v>
      </c>
      <c r="D5242" t="str">
        <f>T("16")</f>
        <v>16</v>
      </c>
      <c r="E5242" t="str">
        <f t="shared" si="725"/>
        <v>구공</v>
      </c>
      <c r="H5242" t="str">
        <f t="shared" si="724"/>
        <v>스토리위즈</v>
      </c>
      <c r="I5242" t="str">
        <f t="shared" si="726"/>
        <v>회귀자의 슬기로운 복수생활</v>
      </c>
      <c r="J5242">
        <v>0</v>
      </c>
      <c r="K5242">
        <v>0</v>
      </c>
      <c r="L5242">
        <v>0</v>
      </c>
      <c r="M5242">
        <v>401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401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T5242" t="str">
        <f t="shared" si="727"/>
        <v>9791137601710</v>
      </c>
      <c r="AV5242" t="str">
        <f t="shared" si="728"/>
        <v>판타지 웹소설 &gt; 퓨전 판타지</v>
      </c>
    </row>
    <row r="5243" spans="1:48" x14ac:dyDescent="0.4">
      <c r="A5243">
        <v>2313017657</v>
      </c>
      <c r="B5243">
        <v>2313017673</v>
      </c>
      <c r="C5243" t="str">
        <f>T("회귀자의 슬기로운 복수생활 17화")</f>
        <v>회귀자의 슬기로운 복수생활 17화</v>
      </c>
      <c r="D5243" t="str">
        <f>T("17")</f>
        <v>17</v>
      </c>
      <c r="E5243" t="str">
        <f t="shared" si="725"/>
        <v>구공</v>
      </c>
      <c r="H5243" t="str">
        <f t="shared" si="724"/>
        <v>스토리위즈</v>
      </c>
      <c r="I5243" t="str">
        <f t="shared" si="726"/>
        <v>회귀자의 슬기로운 복수생활</v>
      </c>
      <c r="J5243">
        <v>0</v>
      </c>
      <c r="K5243">
        <v>0</v>
      </c>
      <c r="L5243">
        <v>0</v>
      </c>
      <c r="M5243">
        <v>385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385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T5243" t="str">
        <f t="shared" si="727"/>
        <v>9791137601710</v>
      </c>
      <c r="AV5243" t="str">
        <f t="shared" si="728"/>
        <v>판타지 웹소설 &gt; 퓨전 판타지</v>
      </c>
    </row>
    <row r="5244" spans="1:48" x14ac:dyDescent="0.4">
      <c r="A5244">
        <v>2313017657</v>
      </c>
      <c r="B5244">
        <v>2313017674</v>
      </c>
      <c r="C5244" t="str">
        <f>T("회귀자의 슬기로운 복수생활 18화")</f>
        <v>회귀자의 슬기로운 복수생활 18화</v>
      </c>
      <c r="D5244" t="str">
        <f>T("18")</f>
        <v>18</v>
      </c>
      <c r="E5244" t="str">
        <f t="shared" si="725"/>
        <v>구공</v>
      </c>
      <c r="H5244" t="str">
        <f t="shared" si="724"/>
        <v>스토리위즈</v>
      </c>
      <c r="I5244" t="str">
        <f t="shared" si="726"/>
        <v>회귀자의 슬기로운 복수생활</v>
      </c>
      <c r="J5244">
        <v>0</v>
      </c>
      <c r="K5244">
        <v>0</v>
      </c>
      <c r="L5244">
        <v>0</v>
      </c>
      <c r="M5244">
        <v>379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379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T5244" t="str">
        <f t="shared" si="727"/>
        <v>9791137601710</v>
      </c>
      <c r="AV5244" t="str">
        <f t="shared" si="728"/>
        <v>판타지 웹소설 &gt; 퓨전 판타지</v>
      </c>
    </row>
    <row r="5245" spans="1:48" x14ac:dyDescent="0.4">
      <c r="A5245">
        <v>2313017657</v>
      </c>
      <c r="B5245">
        <v>2313017675</v>
      </c>
      <c r="C5245" t="str">
        <f>T("회귀자의 슬기로운 복수생활 19화")</f>
        <v>회귀자의 슬기로운 복수생활 19화</v>
      </c>
      <c r="D5245" t="str">
        <f>T("19")</f>
        <v>19</v>
      </c>
      <c r="E5245" t="str">
        <f t="shared" si="725"/>
        <v>구공</v>
      </c>
      <c r="H5245" t="str">
        <f t="shared" si="724"/>
        <v>스토리위즈</v>
      </c>
      <c r="I5245" t="str">
        <f t="shared" si="726"/>
        <v>회귀자의 슬기로운 복수생활</v>
      </c>
      <c r="J5245">
        <v>0</v>
      </c>
      <c r="K5245">
        <v>0</v>
      </c>
      <c r="L5245">
        <v>0</v>
      </c>
      <c r="M5245">
        <v>374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374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T5245" t="str">
        <f t="shared" si="727"/>
        <v>9791137601710</v>
      </c>
      <c r="AV5245" t="str">
        <f t="shared" si="728"/>
        <v>판타지 웹소설 &gt; 퓨전 판타지</v>
      </c>
    </row>
    <row r="5246" spans="1:48" x14ac:dyDescent="0.4">
      <c r="A5246">
        <v>2313017657</v>
      </c>
      <c r="B5246">
        <v>2313017676</v>
      </c>
      <c r="C5246" t="str">
        <f>T("회귀자의 슬기로운 복수생활 20화")</f>
        <v>회귀자의 슬기로운 복수생활 20화</v>
      </c>
      <c r="D5246" t="str">
        <f>T("20")</f>
        <v>20</v>
      </c>
      <c r="E5246" t="str">
        <f t="shared" si="725"/>
        <v>구공</v>
      </c>
      <c r="H5246" t="str">
        <f t="shared" si="724"/>
        <v>스토리위즈</v>
      </c>
      <c r="I5246" t="str">
        <f t="shared" si="726"/>
        <v>회귀자의 슬기로운 복수생활</v>
      </c>
      <c r="J5246">
        <v>0</v>
      </c>
      <c r="K5246">
        <v>0</v>
      </c>
      <c r="L5246">
        <v>0</v>
      </c>
      <c r="M5246">
        <v>370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370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T5246" t="str">
        <f t="shared" si="727"/>
        <v>9791137601710</v>
      </c>
      <c r="AV5246" t="str">
        <f t="shared" si="728"/>
        <v>판타지 웹소설 &gt; 퓨전 판타지</v>
      </c>
    </row>
    <row r="5247" spans="1:48" x14ac:dyDescent="0.4">
      <c r="A5247">
        <v>2313017657</v>
      </c>
      <c r="B5247">
        <v>2313017677</v>
      </c>
      <c r="C5247" t="str">
        <f>T("회귀자의 슬기로운 복수생활 21화")</f>
        <v>회귀자의 슬기로운 복수생활 21화</v>
      </c>
      <c r="D5247" t="str">
        <f>T("21")</f>
        <v>21</v>
      </c>
      <c r="E5247" t="str">
        <f t="shared" si="725"/>
        <v>구공</v>
      </c>
      <c r="H5247" t="str">
        <f t="shared" si="724"/>
        <v>스토리위즈</v>
      </c>
      <c r="I5247" t="str">
        <f t="shared" si="726"/>
        <v>회귀자의 슬기로운 복수생활</v>
      </c>
      <c r="J5247">
        <v>0</v>
      </c>
      <c r="K5247">
        <v>0</v>
      </c>
      <c r="L5247">
        <v>0</v>
      </c>
      <c r="M5247">
        <v>357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357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T5247" t="str">
        <f t="shared" si="727"/>
        <v>9791137601710</v>
      </c>
      <c r="AV5247" t="str">
        <f t="shared" si="728"/>
        <v>판타지 웹소설 &gt; 퓨전 판타지</v>
      </c>
    </row>
    <row r="5248" spans="1:48" x14ac:dyDescent="0.4">
      <c r="A5248">
        <v>2313017657</v>
      </c>
      <c r="B5248">
        <v>2313017678</v>
      </c>
      <c r="C5248" t="str">
        <f>T("회귀자의 슬기로운 복수생활 22화")</f>
        <v>회귀자의 슬기로운 복수생활 22화</v>
      </c>
      <c r="D5248" t="str">
        <f>T("22")</f>
        <v>22</v>
      </c>
      <c r="E5248" t="str">
        <f t="shared" si="725"/>
        <v>구공</v>
      </c>
      <c r="H5248" t="str">
        <f t="shared" si="724"/>
        <v>스토리위즈</v>
      </c>
      <c r="I5248" t="str">
        <f t="shared" si="726"/>
        <v>회귀자의 슬기로운 복수생활</v>
      </c>
      <c r="J5248">
        <v>0</v>
      </c>
      <c r="K5248">
        <v>0</v>
      </c>
      <c r="L5248">
        <v>0</v>
      </c>
      <c r="M5248">
        <v>348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348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T5248" t="str">
        <f t="shared" si="727"/>
        <v>9791137601710</v>
      </c>
      <c r="AV5248" t="str">
        <f t="shared" si="728"/>
        <v>판타지 웹소설 &gt; 퓨전 판타지</v>
      </c>
    </row>
    <row r="5249" spans="1:48" x14ac:dyDescent="0.4">
      <c r="A5249">
        <v>2313017657</v>
      </c>
      <c r="B5249">
        <v>2313017679</v>
      </c>
      <c r="C5249" t="str">
        <f>T("회귀자의 슬기로운 복수생활 23화")</f>
        <v>회귀자의 슬기로운 복수생활 23화</v>
      </c>
      <c r="D5249" t="str">
        <f>T("23")</f>
        <v>23</v>
      </c>
      <c r="E5249" t="str">
        <f t="shared" si="725"/>
        <v>구공</v>
      </c>
      <c r="H5249" t="str">
        <f t="shared" si="724"/>
        <v>스토리위즈</v>
      </c>
      <c r="I5249" t="str">
        <f t="shared" si="726"/>
        <v>회귀자의 슬기로운 복수생활</v>
      </c>
      <c r="J5249">
        <v>0</v>
      </c>
      <c r="K5249">
        <v>0</v>
      </c>
      <c r="L5249">
        <v>0</v>
      </c>
      <c r="M5249">
        <v>344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344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T5249" t="str">
        <f t="shared" si="727"/>
        <v>9791137601710</v>
      </c>
      <c r="AV5249" t="str">
        <f t="shared" si="728"/>
        <v>판타지 웹소설 &gt; 퓨전 판타지</v>
      </c>
    </row>
    <row r="5250" spans="1:48" x14ac:dyDescent="0.4">
      <c r="A5250">
        <v>2313017657</v>
      </c>
      <c r="B5250">
        <v>2313017680</v>
      </c>
      <c r="C5250" t="str">
        <f>T("회귀자의 슬기로운 복수생활 24화")</f>
        <v>회귀자의 슬기로운 복수생활 24화</v>
      </c>
      <c r="D5250" t="str">
        <f>T("24")</f>
        <v>24</v>
      </c>
      <c r="E5250" t="str">
        <f t="shared" si="725"/>
        <v>구공</v>
      </c>
      <c r="H5250" t="str">
        <f t="shared" si="724"/>
        <v>스토리위즈</v>
      </c>
      <c r="I5250" t="str">
        <f t="shared" si="726"/>
        <v>회귀자의 슬기로운 복수생활</v>
      </c>
      <c r="J5250">
        <v>0</v>
      </c>
      <c r="K5250">
        <v>0</v>
      </c>
      <c r="L5250">
        <v>0</v>
      </c>
      <c r="M5250">
        <v>345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345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T5250" t="str">
        <f t="shared" si="727"/>
        <v>9791137601710</v>
      </c>
      <c r="AV5250" t="str">
        <f t="shared" si="728"/>
        <v>판타지 웹소설 &gt; 퓨전 판타지</v>
      </c>
    </row>
    <row r="5251" spans="1:48" x14ac:dyDescent="0.4">
      <c r="A5251">
        <v>2313017657</v>
      </c>
      <c r="B5251">
        <v>2313017681</v>
      </c>
      <c r="C5251" t="str">
        <f>T("회귀자의 슬기로운 복수생활 25화")</f>
        <v>회귀자의 슬기로운 복수생활 25화</v>
      </c>
      <c r="D5251" t="str">
        <f>T("25")</f>
        <v>25</v>
      </c>
      <c r="E5251" t="str">
        <f t="shared" si="725"/>
        <v>구공</v>
      </c>
      <c r="H5251" t="str">
        <f t="shared" si="724"/>
        <v>스토리위즈</v>
      </c>
      <c r="I5251" t="str">
        <f t="shared" si="726"/>
        <v>회귀자의 슬기로운 복수생활</v>
      </c>
      <c r="J5251">
        <v>0</v>
      </c>
      <c r="K5251">
        <v>0</v>
      </c>
      <c r="L5251">
        <v>0</v>
      </c>
      <c r="M5251">
        <v>354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354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T5251" t="str">
        <f t="shared" si="727"/>
        <v>9791137601710</v>
      </c>
      <c r="AV5251" t="str">
        <f t="shared" si="728"/>
        <v>판타지 웹소설 &gt; 퓨전 판타지</v>
      </c>
    </row>
    <row r="5252" spans="1:48" x14ac:dyDescent="0.4">
      <c r="A5252">
        <v>2313017646</v>
      </c>
      <c r="B5252">
        <v>2313017857</v>
      </c>
      <c r="C5252" t="str">
        <f>T("소울 슈터 2화")</f>
        <v>소울 슈터 2화</v>
      </c>
      <c r="D5252" t="str">
        <f>T("2")</f>
        <v>2</v>
      </c>
      <c r="E5252" t="str">
        <f t="shared" ref="E5252:E5300" si="729">T("라이큐")</f>
        <v>라이큐</v>
      </c>
      <c r="H5252" t="str">
        <f t="shared" ref="H5252:H5300" si="730">T("스토리아크")</f>
        <v>스토리아크</v>
      </c>
      <c r="I5252" t="str">
        <f t="shared" ref="I5252:I5300" si="731">T("소울 슈터")</f>
        <v>소울 슈터</v>
      </c>
      <c r="J5252">
        <v>0</v>
      </c>
      <c r="K5252">
        <v>0</v>
      </c>
      <c r="L5252">
        <v>0</v>
      </c>
      <c r="M5252">
        <v>41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41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R5252" t="str">
        <f t="shared" ref="AR5252:AR5301" si="732">T("0000000000000")</f>
        <v>0000000000000</v>
      </c>
      <c r="AT5252" t="str">
        <f t="shared" ref="AT5252:AT5300" si="733">T("9791191039078")</f>
        <v>9791191039078</v>
      </c>
      <c r="AV5252" t="str">
        <f t="shared" ref="AV5252:AV5300" si="734">T("판타지 웹소설 &gt; 정통 판타지")</f>
        <v>판타지 웹소설 &gt; 정통 판타지</v>
      </c>
    </row>
    <row r="5253" spans="1:48" x14ac:dyDescent="0.4">
      <c r="A5253">
        <v>2313017646</v>
      </c>
      <c r="B5253">
        <v>2313017858</v>
      </c>
      <c r="C5253" t="str">
        <f>T("소울 슈터 3화")</f>
        <v>소울 슈터 3화</v>
      </c>
      <c r="D5253" t="str">
        <f>T("3")</f>
        <v>3</v>
      </c>
      <c r="E5253" t="str">
        <f t="shared" si="729"/>
        <v>라이큐</v>
      </c>
      <c r="H5253" t="str">
        <f t="shared" si="730"/>
        <v>스토리아크</v>
      </c>
      <c r="I5253" t="str">
        <f t="shared" si="731"/>
        <v>소울 슈터</v>
      </c>
      <c r="J5253">
        <v>0</v>
      </c>
      <c r="K5253">
        <v>0</v>
      </c>
      <c r="L5253">
        <v>0</v>
      </c>
      <c r="M5253">
        <v>35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35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R5253" t="str">
        <f t="shared" si="732"/>
        <v>0000000000000</v>
      </c>
      <c r="AT5253" t="str">
        <f t="shared" si="733"/>
        <v>9791191039078</v>
      </c>
      <c r="AV5253" t="str">
        <f t="shared" si="734"/>
        <v>판타지 웹소설 &gt; 정통 판타지</v>
      </c>
    </row>
    <row r="5254" spans="1:48" x14ac:dyDescent="0.4">
      <c r="A5254">
        <v>2313017646</v>
      </c>
      <c r="B5254">
        <v>2313017859</v>
      </c>
      <c r="C5254" t="str">
        <f>T("소울 슈터 4화")</f>
        <v>소울 슈터 4화</v>
      </c>
      <c r="D5254" t="str">
        <f>T("4")</f>
        <v>4</v>
      </c>
      <c r="E5254" t="str">
        <f t="shared" si="729"/>
        <v>라이큐</v>
      </c>
      <c r="H5254" t="str">
        <f t="shared" si="730"/>
        <v>스토리아크</v>
      </c>
      <c r="I5254" t="str">
        <f t="shared" si="731"/>
        <v>소울 슈터</v>
      </c>
      <c r="J5254">
        <v>0</v>
      </c>
      <c r="K5254">
        <v>0</v>
      </c>
      <c r="L5254">
        <v>0</v>
      </c>
      <c r="M5254">
        <v>35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35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R5254" t="str">
        <f t="shared" si="732"/>
        <v>0000000000000</v>
      </c>
      <c r="AT5254" t="str">
        <f t="shared" si="733"/>
        <v>9791191039078</v>
      </c>
      <c r="AV5254" t="str">
        <f t="shared" si="734"/>
        <v>판타지 웹소설 &gt; 정통 판타지</v>
      </c>
    </row>
    <row r="5255" spans="1:48" x14ac:dyDescent="0.4">
      <c r="A5255">
        <v>2313017646</v>
      </c>
      <c r="B5255">
        <v>2313017860</v>
      </c>
      <c r="C5255" t="str">
        <f>T("소울 슈터 5화")</f>
        <v>소울 슈터 5화</v>
      </c>
      <c r="D5255" t="str">
        <f>T("5")</f>
        <v>5</v>
      </c>
      <c r="E5255" t="str">
        <f t="shared" si="729"/>
        <v>라이큐</v>
      </c>
      <c r="H5255" t="str">
        <f t="shared" si="730"/>
        <v>스토리아크</v>
      </c>
      <c r="I5255" t="str">
        <f t="shared" si="731"/>
        <v>소울 슈터</v>
      </c>
      <c r="J5255">
        <v>0</v>
      </c>
      <c r="K5255">
        <v>0</v>
      </c>
      <c r="L5255">
        <v>0</v>
      </c>
      <c r="M5255">
        <v>34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34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R5255" t="str">
        <f t="shared" si="732"/>
        <v>0000000000000</v>
      </c>
      <c r="AT5255" t="str">
        <f t="shared" si="733"/>
        <v>9791191039078</v>
      </c>
      <c r="AV5255" t="str">
        <f t="shared" si="734"/>
        <v>판타지 웹소설 &gt; 정통 판타지</v>
      </c>
    </row>
    <row r="5256" spans="1:48" x14ac:dyDescent="0.4">
      <c r="A5256">
        <v>2313017646</v>
      </c>
      <c r="B5256">
        <v>2313017861</v>
      </c>
      <c r="C5256" t="str">
        <f>T("소울 슈터 6화")</f>
        <v>소울 슈터 6화</v>
      </c>
      <c r="D5256" t="str">
        <f>T("6")</f>
        <v>6</v>
      </c>
      <c r="E5256" t="str">
        <f t="shared" si="729"/>
        <v>라이큐</v>
      </c>
      <c r="H5256" t="str">
        <f t="shared" si="730"/>
        <v>스토리아크</v>
      </c>
      <c r="I5256" t="str">
        <f t="shared" si="731"/>
        <v>소울 슈터</v>
      </c>
      <c r="J5256">
        <v>0</v>
      </c>
      <c r="K5256">
        <v>0</v>
      </c>
      <c r="L5256">
        <v>0</v>
      </c>
      <c r="M5256">
        <v>34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34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R5256" t="str">
        <f t="shared" si="732"/>
        <v>0000000000000</v>
      </c>
      <c r="AT5256" t="str">
        <f t="shared" si="733"/>
        <v>9791191039078</v>
      </c>
      <c r="AV5256" t="str">
        <f t="shared" si="734"/>
        <v>판타지 웹소설 &gt; 정통 판타지</v>
      </c>
    </row>
    <row r="5257" spans="1:48" x14ac:dyDescent="0.4">
      <c r="A5257">
        <v>2313017646</v>
      </c>
      <c r="B5257">
        <v>2313017862</v>
      </c>
      <c r="C5257" t="str">
        <f>T("소울 슈터 7화")</f>
        <v>소울 슈터 7화</v>
      </c>
      <c r="D5257" t="str">
        <f>T("7")</f>
        <v>7</v>
      </c>
      <c r="E5257" t="str">
        <f t="shared" si="729"/>
        <v>라이큐</v>
      </c>
      <c r="H5257" t="str">
        <f t="shared" si="730"/>
        <v>스토리아크</v>
      </c>
      <c r="I5257" t="str">
        <f t="shared" si="731"/>
        <v>소울 슈터</v>
      </c>
      <c r="J5257">
        <v>0</v>
      </c>
      <c r="K5257">
        <v>0</v>
      </c>
      <c r="L5257">
        <v>0</v>
      </c>
      <c r="M5257">
        <v>33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33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R5257" t="str">
        <f t="shared" si="732"/>
        <v>0000000000000</v>
      </c>
      <c r="AT5257" t="str">
        <f t="shared" si="733"/>
        <v>9791191039078</v>
      </c>
      <c r="AV5257" t="str">
        <f t="shared" si="734"/>
        <v>판타지 웹소설 &gt; 정통 판타지</v>
      </c>
    </row>
    <row r="5258" spans="1:48" x14ac:dyDescent="0.4">
      <c r="A5258">
        <v>2313017646</v>
      </c>
      <c r="B5258">
        <v>2313017863</v>
      </c>
      <c r="C5258" t="str">
        <f>T("소울 슈터 8화")</f>
        <v>소울 슈터 8화</v>
      </c>
      <c r="D5258" t="str">
        <f>T("8")</f>
        <v>8</v>
      </c>
      <c r="E5258" t="str">
        <f t="shared" si="729"/>
        <v>라이큐</v>
      </c>
      <c r="H5258" t="str">
        <f t="shared" si="730"/>
        <v>스토리아크</v>
      </c>
      <c r="I5258" t="str">
        <f t="shared" si="731"/>
        <v>소울 슈터</v>
      </c>
      <c r="J5258">
        <v>0</v>
      </c>
      <c r="K5258">
        <v>0</v>
      </c>
      <c r="L5258">
        <v>0</v>
      </c>
      <c r="M5258">
        <v>33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33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R5258" t="str">
        <f t="shared" si="732"/>
        <v>0000000000000</v>
      </c>
      <c r="AT5258" t="str">
        <f t="shared" si="733"/>
        <v>9791191039078</v>
      </c>
      <c r="AV5258" t="str">
        <f t="shared" si="734"/>
        <v>판타지 웹소설 &gt; 정통 판타지</v>
      </c>
    </row>
    <row r="5259" spans="1:48" x14ac:dyDescent="0.4">
      <c r="A5259">
        <v>2313017646</v>
      </c>
      <c r="B5259">
        <v>2313017864</v>
      </c>
      <c r="C5259" t="str">
        <f>T("소울 슈터 9화")</f>
        <v>소울 슈터 9화</v>
      </c>
      <c r="D5259" t="str">
        <f>T("9")</f>
        <v>9</v>
      </c>
      <c r="E5259" t="str">
        <f t="shared" si="729"/>
        <v>라이큐</v>
      </c>
      <c r="H5259" t="str">
        <f t="shared" si="730"/>
        <v>스토리아크</v>
      </c>
      <c r="I5259" t="str">
        <f t="shared" si="731"/>
        <v>소울 슈터</v>
      </c>
      <c r="J5259">
        <v>0</v>
      </c>
      <c r="K5259">
        <v>0</v>
      </c>
      <c r="L5259">
        <v>0</v>
      </c>
      <c r="M5259">
        <v>32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32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R5259" t="str">
        <f t="shared" si="732"/>
        <v>0000000000000</v>
      </c>
      <c r="AT5259" t="str">
        <f t="shared" si="733"/>
        <v>9791191039078</v>
      </c>
      <c r="AV5259" t="str">
        <f t="shared" si="734"/>
        <v>판타지 웹소설 &gt; 정통 판타지</v>
      </c>
    </row>
    <row r="5260" spans="1:48" x14ac:dyDescent="0.4">
      <c r="A5260">
        <v>2313017646</v>
      </c>
      <c r="B5260">
        <v>2313017865</v>
      </c>
      <c r="C5260" t="str">
        <f>T("소울 슈터 10화")</f>
        <v>소울 슈터 10화</v>
      </c>
      <c r="D5260" t="str">
        <f>T("10")</f>
        <v>10</v>
      </c>
      <c r="E5260" t="str">
        <f t="shared" si="729"/>
        <v>라이큐</v>
      </c>
      <c r="H5260" t="str">
        <f t="shared" si="730"/>
        <v>스토리아크</v>
      </c>
      <c r="I5260" t="str">
        <f t="shared" si="731"/>
        <v>소울 슈터</v>
      </c>
      <c r="J5260">
        <v>0</v>
      </c>
      <c r="K5260">
        <v>0</v>
      </c>
      <c r="L5260">
        <v>0</v>
      </c>
      <c r="M5260">
        <v>31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31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R5260" t="str">
        <f t="shared" si="732"/>
        <v>0000000000000</v>
      </c>
      <c r="AT5260" t="str">
        <f t="shared" si="733"/>
        <v>9791191039078</v>
      </c>
      <c r="AV5260" t="str">
        <f t="shared" si="734"/>
        <v>판타지 웹소설 &gt; 정통 판타지</v>
      </c>
    </row>
    <row r="5261" spans="1:48" x14ac:dyDescent="0.4">
      <c r="A5261">
        <v>2313017646</v>
      </c>
      <c r="B5261">
        <v>2313017866</v>
      </c>
      <c r="C5261" t="str">
        <f>T("소울 슈터 11화")</f>
        <v>소울 슈터 11화</v>
      </c>
      <c r="D5261" t="str">
        <f>T("11")</f>
        <v>11</v>
      </c>
      <c r="E5261" t="str">
        <f t="shared" si="729"/>
        <v>라이큐</v>
      </c>
      <c r="H5261" t="str">
        <f t="shared" si="730"/>
        <v>스토리아크</v>
      </c>
      <c r="I5261" t="str">
        <f t="shared" si="731"/>
        <v>소울 슈터</v>
      </c>
      <c r="J5261">
        <v>0</v>
      </c>
      <c r="K5261">
        <v>0</v>
      </c>
      <c r="L5261">
        <v>0</v>
      </c>
      <c r="M5261">
        <v>31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31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R5261" t="str">
        <f t="shared" si="732"/>
        <v>0000000000000</v>
      </c>
      <c r="AT5261" t="str">
        <f t="shared" si="733"/>
        <v>9791191039078</v>
      </c>
      <c r="AV5261" t="str">
        <f t="shared" si="734"/>
        <v>판타지 웹소설 &gt; 정통 판타지</v>
      </c>
    </row>
    <row r="5262" spans="1:48" x14ac:dyDescent="0.4">
      <c r="A5262">
        <v>2313017646</v>
      </c>
      <c r="B5262">
        <v>2313017867</v>
      </c>
      <c r="C5262" t="str">
        <f>T("소울 슈터 12화")</f>
        <v>소울 슈터 12화</v>
      </c>
      <c r="D5262" t="str">
        <f>T("12")</f>
        <v>12</v>
      </c>
      <c r="E5262" t="str">
        <f t="shared" si="729"/>
        <v>라이큐</v>
      </c>
      <c r="H5262" t="str">
        <f t="shared" si="730"/>
        <v>스토리아크</v>
      </c>
      <c r="I5262" t="str">
        <f t="shared" si="731"/>
        <v>소울 슈터</v>
      </c>
      <c r="J5262">
        <v>0</v>
      </c>
      <c r="K5262">
        <v>0</v>
      </c>
      <c r="L5262">
        <v>0</v>
      </c>
      <c r="M5262">
        <v>28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28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R5262" t="str">
        <f t="shared" si="732"/>
        <v>0000000000000</v>
      </c>
      <c r="AT5262" t="str">
        <f t="shared" si="733"/>
        <v>9791191039078</v>
      </c>
      <c r="AV5262" t="str">
        <f t="shared" si="734"/>
        <v>판타지 웹소설 &gt; 정통 판타지</v>
      </c>
    </row>
    <row r="5263" spans="1:48" x14ac:dyDescent="0.4">
      <c r="A5263">
        <v>2313017646</v>
      </c>
      <c r="B5263">
        <v>2313017868</v>
      </c>
      <c r="C5263" t="str">
        <f>T("소울 슈터 13화")</f>
        <v>소울 슈터 13화</v>
      </c>
      <c r="D5263" t="str">
        <f>T("13")</f>
        <v>13</v>
      </c>
      <c r="E5263" t="str">
        <f t="shared" si="729"/>
        <v>라이큐</v>
      </c>
      <c r="H5263" t="str">
        <f t="shared" si="730"/>
        <v>스토리아크</v>
      </c>
      <c r="I5263" t="str">
        <f t="shared" si="731"/>
        <v>소울 슈터</v>
      </c>
      <c r="J5263">
        <v>0</v>
      </c>
      <c r="K5263">
        <v>0</v>
      </c>
      <c r="L5263">
        <v>0</v>
      </c>
      <c r="M5263">
        <v>28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28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R5263" t="str">
        <f t="shared" si="732"/>
        <v>0000000000000</v>
      </c>
      <c r="AT5263" t="str">
        <f t="shared" si="733"/>
        <v>9791191039078</v>
      </c>
      <c r="AV5263" t="str">
        <f t="shared" si="734"/>
        <v>판타지 웹소설 &gt; 정통 판타지</v>
      </c>
    </row>
    <row r="5264" spans="1:48" x14ac:dyDescent="0.4">
      <c r="A5264">
        <v>2313017646</v>
      </c>
      <c r="B5264">
        <v>2313017869</v>
      </c>
      <c r="C5264" t="str">
        <f>T("소울 슈터 14화")</f>
        <v>소울 슈터 14화</v>
      </c>
      <c r="D5264" t="str">
        <f>T("14")</f>
        <v>14</v>
      </c>
      <c r="E5264" t="str">
        <f t="shared" si="729"/>
        <v>라이큐</v>
      </c>
      <c r="H5264" t="str">
        <f t="shared" si="730"/>
        <v>스토리아크</v>
      </c>
      <c r="I5264" t="str">
        <f t="shared" si="731"/>
        <v>소울 슈터</v>
      </c>
      <c r="J5264">
        <v>0</v>
      </c>
      <c r="K5264">
        <v>0</v>
      </c>
      <c r="L5264">
        <v>0</v>
      </c>
      <c r="M5264">
        <v>28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28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R5264" t="str">
        <f t="shared" si="732"/>
        <v>0000000000000</v>
      </c>
      <c r="AT5264" t="str">
        <f t="shared" si="733"/>
        <v>9791191039078</v>
      </c>
      <c r="AV5264" t="str">
        <f t="shared" si="734"/>
        <v>판타지 웹소설 &gt; 정통 판타지</v>
      </c>
    </row>
    <row r="5265" spans="1:48" x14ac:dyDescent="0.4">
      <c r="A5265">
        <v>2313017646</v>
      </c>
      <c r="B5265">
        <v>2313017870</v>
      </c>
      <c r="C5265" t="str">
        <f>T("소울 슈터 15화")</f>
        <v>소울 슈터 15화</v>
      </c>
      <c r="D5265" t="str">
        <f>T("15")</f>
        <v>15</v>
      </c>
      <c r="E5265" t="str">
        <f t="shared" si="729"/>
        <v>라이큐</v>
      </c>
      <c r="H5265" t="str">
        <f t="shared" si="730"/>
        <v>스토리아크</v>
      </c>
      <c r="I5265" t="str">
        <f t="shared" si="731"/>
        <v>소울 슈터</v>
      </c>
      <c r="J5265">
        <v>0</v>
      </c>
      <c r="K5265">
        <v>0</v>
      </c>
      <c r="L5265">
        <v>0</v>
      </c>
      <c r="M5265">
        <v>28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28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R5265" t="str">
        <f t="shared" si="732"/>
        <v>0000000000000</v>
      </c>
      <c r="AT5265" t="str">
        <f t="shared" si="733"/>
        <v>9791191039078</v>
      </c>
      <c r="AV5265" t="str">
        <f t="shared" si="734"/>
        <v>판타지 웹소설 &gt; 정통 판타지</v>
      </c>
    </row>
    <row r="5266" spans="1:48" x14ac:dyDescent="0.4">
      <c r="A5266">
        <v>2313017646</v>
      </c>
      <c r="B5266">
        <v>2313017871</v>
      </c>
      <c r="C5266" t="str">
        <f>T("소울 슈터 16화")</f>
        <v>소울 슈터 16화</v>
      </c>
      <c r="D5266" t="str">
        <f>T("16")</f>
        <v>16</v>
      </c>
      <c r="E5266" t="str">
        <f t="shared" si="729"/>
        <v>라이큐</v>
      </c>
      <c r="H5266" t="str">
        <f t="shared" si="730"/>
        <v>스토리아크</v>
      </c>
      <c r="I5266" t="str">
        <f t="shared" si="731"/>
        <v>소울 슈터</v>
      </c>
      <c r="J5266">
        <v>0</v>
      </c>
      <c r="K5266">
        <v>0</v>
      </c>
      <c r="L5266">
        <v>0</v>
      </c>
      <c r="M5266">
        <v>28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28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R5266" t="str">
        <f t="shared" si="732"/>
        <v>0000000000000</v>
      </c>
      <c r="AT5266" t="str">
        <f t="shared" si="733"/>
        <v>9791191039078</v>
      </c>
      <c r="AV5266" t="str">
        <f t="shared" si="734"/>
        <v>판타지 웹소설 &gt; 정통 판타지</v>
      </c>
    </row>
    <row r="5267" spans="1:48" x14ac:dyDescent="0.4">
      <c r="A5267">
        <v>2313017646</v>
      </c>
      <c r="B5267">
        <v>2313017872</v>
      </c>
      <c r="C5267" t="str">
        <f>T("소울 슈터 17화")</f>
        <v>소울 슈터 17화</v>
      </c>
      <c r="D5267" t="str">
        <f>T("17")</f>
        <v>17</v>
      </c>
      <c r="E5267" t="str">
        <f t="shared" si="729"/>
        <v>라이큐</v>
      </c>
      <c r="H5267" t="str">
        <f t="shared" si="730"/>
        <v>스토리아크</v>
      </c>
      <c r="I5267" t="str">
        <f t="shared" si="731"/>
        <v>소울 슈터</v>
      </c>
      <c r="J5267">
        <v>0</v>
      </c>
      <c r="K5267">
        <v>0</v>
      </c>
      <c r="L5267">
        <v>0</v>
      </c>
      <c r="M5267">
        <v>28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28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R5267" t="str">
        <f t="shared" si="732"/>
        <v>0000000000000</v>
      </c>
      <c r="AT5267" t="str">
        <f t="shared" si="733"/>
        <v>9791191039078</v>
      </c>
      <c r="AV5267" t="str">
        <f t="shared" si="734"/>
        <v>판타지 웹소설 &gt; 정통 판타지</v>
      </c>
    </row>
    <row r="5268" spans="1:48" x14ac:dyDescent="0.4">
      <c r="A5268">
        <v>2313017646</v>
      </c>
      <c r="B5268">
        <v>2313017873</v>
      </c>
      <c r="C5268" t="str">
        <f>T("소울 슈터 18화")</f>
        <v>소울 슈터 18화</v>
      </c>
      <c r="D5268" t="str">
        <f>T("18")</f>
        <v>18</v>
      </c>
      <c r="E5268" t="str">
        <f t="shared" si="729"/>
        <v>라이큐</v>
      </c>
      <c r="H5268" t="str">
        <f t="shared" si="730"/>
        <v>스토리아크</v>
      </c>
      <c r="I5268" t="str">
        <f t="shared" si="731"/>
        <v>소울 슈터</v>
      </c>
      <c r="J5268">
        <v>0</v>
      </c>
      <c r="K5268">
        <v>0</v>
      </c>
      <c r="L5268">
        <v>0</v>
      </c>
      <c r="M5268">
        <v>28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28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R5268" t="str">
        <f t="shared" si="732"/>
        <v>0000000000000</v>
      </c>
      <c r="AT5268" t="str">
        <f t="shared" si="733"/>
        <v>9791191039078</v>
      </c>
      <c r="AV5268" t="str">
        <f t="shared" si="734"/>
        <v>판타지 웹소설 &gt; 정통 판타지</v>
      </c>
    </row>
    <row r="5269" spans="1:48" x14ac:dyDescent="0.4">
      <c r="A5269">
        <v>2313017646</v>
      </c>
      <c r="B5269">
        <v>2313017874</v>
      </c>
      <c r="C5269" t="str">
        <f>T("소울 슈터 19화")</f>
        <v>소울 슈터 19화</v>
      </c>
      <c r="D5269" t="str">
        <f>T("19")</f>
        <v>19</v>
      </c>
      <c r="E5269" t="str">
        <f t="shared" si="729"/>
        <v>라이큐</v>
      </c>
      <c r="H5269" t="str">
        <f t="shared" si="730"/>
        <v>스토리아크</v>
      </c>
      <c r="I5269" t="str">
        <f t="shared" si="731"/>
        <v>소울 슈터</v>
      </c>
      <c r="J5269">
        <v>0</v>
      </c>
      <c r="K5269">
        <v>0</v>
      </c>
      <c r="L5269">
        <v>0</v>
      </c>
      <c r="M5269">
        <v>28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28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R5269" t="str">
        <f t="shared" si="732"/>
        <v>0000000000000</v>
      </c>
      <c r="AT5269" t="str">
        <f t="shared" si="733"/>
        <v>9791191039078</v>
      </c>
      <c r="AV5269" t="str">
        <f t="shared" si="734"/>
        <v>판타지 웹소설 &gt; 정통 판타지</v>
      </c>
    </row>
    <row r="5270" spans="1:48" x14ac:dyDescent="0.4">
      <c r="A5270">
        <v>2313017646</v>
      </c>
      <c r="B5270">
        <v>2313017875</v>
      </c>
      <c r="C5270" t="str">
        <f>T("소울 슈터 20화")</f>
        <v>소울 슈터 20화</v>
      </c>
      <c r="D5270" t="str">
        <f>T("20")</f>
        <v>20</v>
      </c>
      <c r="E5270" t="str">
        <f t="shared" si="729"/>
        <v>라이큐</v>
      </c>
      <c r="H5270" t="str">
        <f t="shared" si="730"/>
        <v>스토리아크</v>
      </c>
      <c r="I5270" t="str">
        <f t="shared" si="731"/>
        <v>소울 슈터</v>
      </c>
      <c r="J5270">
        <v>0</v>
      </c>
      <c r="K5270">
        <v>0</v>
      </c>
      <c r="L5270">
        <v>0</v>
      </c>
      <c r="M5270">
        <v>28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28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R5270" t="str">
        <f t="shared" si="732"/>
        <v>0000000000000</v>
      </c>
      <c r="AT5270" t="str">
        <f t="shared" si="733"/>
        <v>9791191039078</v>
      </c>
      <c r="AV5270" t="str">
        <f t="shared" si="734"/>
        <v>판타지 웹소설 &gt; 정통 판타지</v>
      </c>
    </row>
    <row r="5271" spans="1:48" x14ac:dyDescent="0.4">
      <c r="A5271">
        <v>2313017646</v>
      </c>
      <c r="B5271">
        <v>2313017876</v>
      </c>
      <c r="C5271" t="str">
        <f>T("소울 슈터 21화")</f>
        <v>소울 슈터 21화</v>
      </c>
      <c r="D5271" t="str">
        <f>T("21")</f>
        <v>21</v>
      </c>
      <c r="E5271" t="str">
        <f t="shared" si="729"/>
        <v>라이큐</v>
      </c>
      <c r="H5271" t="str">
        <f t="shared" si="730"/>
        <v>스토리아크</v>
      </c>
      <c r="I5271" t="str">
        <f t="shared" si="731"/>
        <v>소울 슈터</v>
      </c>
      <c r="J5271">
        <v>0</v>
      </c>
      <c r="K5271">
        <v>0</v>
      </c>
      <c r="L5271">
        <v>0</v>
      </c>
      <c r="M5271">
        <v>28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28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R5271" t="str">
        <f t="shared" si="732"/>
        <v>0000000000000</v>
      </c>
      <c r="AT5271" t="str">
        <f t="shared" si="733"/>
        <v>9791191039078</v>
      </c>
      <c r="AV5271" t="str">
        <f t="shared" si="734"/>
        <v>판타지 웹소설 &gt; 정통 판타지</v>
      </c>
    </row>
    <row r="5272" spans="1:48" x14ac:dyDescent="0.4">
      <c r="A5272">
        <v>2313017646</v>
      </c>
      <c r="B5272">
        <v>2313017877</v>
      </c>
      <c r="C5272" t="str">
        <f>T("소울 슈터 22화")</f>
        <v>소울 슈터 22화</v>
      </c>
      <c r="D5272" t="str">
        <f>T("22")</f>
        <v>22</v>
      </c>
      <c r="E5272" t="str">
        <f t="shared" si="729"/>
        <v>라이큐</v>
      </c>
      <c r="H5272" t="str">
        <f t="shared" si="730"/>
        <v>스토리아크</v>
      </c>
      <c r="I5272" t="str">
        <f t="shared" si="731"/>
        <v>소울 슈터</v>
      </c>
      <c r="J5272">
        <v>0</v>
      </c>
      <c r="K5272">
        <v>0</v>
      </c>
      <c r="L5272">
        <v>0</v>
      </c>
      <c r="M5272">
        <v>27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27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R5272" t="str">
        <f t="shared" si="732"/>
        <v>0000000000000</v>
      </c>
      <c r="AT5272" t="str">
        <f t="shared" si="733"/>
        <v>9791191039078</v>
      </c>
      <c r="AV5272" t="str">
        <f t="shared" si="734"/>
        <v>판타지 웹소설 &gt; 정통 판타지</v>
      </c>
    </row>
    <row r="5273" spans="1:48" x14ac:dyDescent="0.4">
      <c r="A5273">
        <v>2313017646</v>
      </c>
      <c r="B5273">
        <v>2313017878</v>
      </c>
      <c r="C5273" t="str">
        <f>T("소울 슈터 23화")</f>
        <v>소울 슈터 23화</v>
      </c>
      <c r="D5273" t="str">
        <f>T("23")</f>
        <v>23</v>
      </c>
      <c r="E5273" t="str">
        <f t="shared" si="729"/>
        <v>라이큐</v>
      </c>
      <c r="H5273" t="str">
        <f t="shared" si="730"/>
        <v>스토리아크</v>
      </c>
      <c r="I5273" t="str">
        <f t="shared" si="731"/>
        <v>소울 슈터</v>
      </c>
      <c r="J5273">
        <v>0</v>
      </c>
      <c r="K5273">
        <v>0</v>
      </c>
      <c r="L5273">
        <v>0</v>
      </c>
      <c r="M5273">
        <v>27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27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R5273" t="str">
        <f t="shared" si="732"/>
        <v>0000000000000</v>
      </c>
      <c r="AT5273" t="str">
        <f t="shared" si="733"/>
        <v>9791191039078</v>
      </c>
      <c r="AV5273" t="str">
        <f t="shared" si="734"/>
        <v>판타지 웹소설 &gt; 정통 판타지</v>
      </c>
    </row>
    <row r="5274" spans="1:48" x14ac:dyDescent="0.4">
      <c r="A5274">
        <v>2313017646</v>
      </c>
      <c r="B5274">
        <v>2313017879</v>
      </c>
      <c r="C5274" t="str">
        <f>T("소울 슈터 24화")</f>
        <v>소울 슈터 24화</v>
      </c>
      <c r="D5274" t="str">
        <f>T("24")</f>
        <v>24</v>
      </c>
      <c r="E5274" t="str">
        <f t="shared" si="729"/>
        <v>라이큐</v>
      </c>
      <c r="H5274" t="str">
        <f t="shared" si="730"/>
        <v>스토리아크</v>
      </c>
      <c r="I5274" t="str">
        <f t="shared" si="731"/>
        <v>소울 슈터</v>
      </c>
      <c r="J5274">
        <v>0</v>
      </c>
      <c r="K5274">
        <v>0</v>
      </c>
      <c r="L5274">
        <v>0</v>
      </c>
      <c r="M5274">
        <v>27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27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R5274" t="str">
        <f t="shared" si="732"/>
        <v>0000000000000</v>
      </c>
      <c r="AT5274" t="str">
        <f t="shared" si="733"/>
        <v>9791191039078</v>
      </c>
      <c r="AV5274" t="str">
        <f t="shared" si="734"/>
        <v>판타지 웹소설 &gt; 정통 판타지</v>
      </c>
    </row>
    <row r="5275" spans="1:48" x14ac:dyDescent="0.4">
      <c r="A5275">
        <v>2313017646</v>
      </c>
      <c r="B5275">
        <v>2313017880</v>
      </c>
      <c r="C5275" t="str">
        <f>T("소울 슈터 25화")</f>
        <v>소울 슈터 25화</v>
      </c>
      <c r="D5275" t="str">
        <f>T("25")</f>
        <v>25</v>
      </c>
      <c r="E5275" t="str">
        <f t="shared" si="729"/>
        <v>라이큐</v>
      </c>
      <c r="H5275" t="str">
        <f t="shared" si="730"/>
        <v>스토리아크</v>
      </c>
      <c r="I5275" t="str">
        <f t="shared" si="731"/>
        <v>소울 슈터</v>
      </c>
      <c r="J5275">
        <v>0</v>
      </c>
      <c r="K5275">
        <v>0</v>
      </c>
      <c r="L5275">
        <v>0</v>
      </c>
      <c r="M5275">
        <v>27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27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R5275" t="str">
        <f t="shared" si="732"/>
        <v>0000000000000</v>
      </c>
      <c r="AT5275" t="str">
        <f t="shared" si="733"/>
        <v>9791191039078</v>
      </c>
      <c r="AV5275" t="str">
        <f t="shared" si="734"/>
        <v>판타지 웹소설 &gt; 정통 판타지</v>
      </c>
    </row>
    <row r="5276" spans="1:48" x14ac:dyDescent="0.4">
      <c r="A5276">
        <v>2313017646</v>
      </c>
      <c r="B5276">
        <v>2313017881</v>
      </c>
      <c r="C5276" t="str">
        <f>T("소울 슈터 26화")</f>
        <v>소울 슈터 26화</v>
      </c>
      <c r="D5276" t="str">
        <f>T("26")</f>
        <v>26</v>
      </c>
      <c r="E5276" t="str">
        <f t="shared" si="729"/>
        <v>라이큐</v>
      </c>
      <c r="H5276" t="str">
        <f t="shared" si="730"/>
        <v>스토리아크</v>
      </c>
      <c r="I5276" t="str">
        <f t="shared" si="731"/>
        <v>소울 슈터</v>
      </c>
      <c r="J5276">
        <v>100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R5276" t="str">
        <f t="shared" si="732"/>
        <v>0000000000000</v>
      </c>
      <c r="AT5276" t="str">
        <f t="shared" si="733"/>
        <v>9791191039078</v>
      </c>
      <c r="AV5276" t="str">
        <f t="shared" si="734"/>
        <v>판타지 웹소설 &gt; 정통 판타지</v>
      </c>
    </row>
    <row r="5277" spans="1:48" x14ac:dyDescent="0.4">
      <c r="A5277">
        <v>2313017646</v>
      </c>
      <c r="B5277">
        <v>2313017882</v>
      </c>
      <c r="C5277" t="str">
        <f>T("소울 슈터 27화")</f>
        <v>소울 슈터 27화</v>
      </c>
      <c r="D5277" t="str">
        <f>T("27")</f>
        <v>27</v>
      </c>
      <c r="E5277" t="str">
        <f t="shared" si="729"/>
        <v>라이큐</v>
      </c>
      <c r="H5277" t="str">
        <f t="shared" si="730"/>
        <v>스토리아크</v>
      </c>
      <c r="I5277" t="str">
        <f t="shared" si="731"/>
        <v>소울 슈터</v>
      </c>
      <c r="J5277">
        <v>100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2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2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R5277" t="str">
        <f t="shared" si="732"/>
        <v>0000000000000</v>
      </c>
      <c r="AT5277" t="str">
        <f t="shared" si="733"/>
        <v>9791191039078</v>
      </c>
      <c r="AV5277" t="str">
        <f t="shared" si="734"/>
        <v>판타지 웹소설 &gt; 정통 판타지</v>
      </c>
    </row>
    <row r="5278" spans="1:48" x14ac:dyDescent="0.4">
      <c r="A5278">
        <v>2313017646</v>
      </c>
      <c r="B5278">
        <v>2313017883</v>
      </c>
      <c r="C5278" t="str">
        <f>T("소울 슈터 28화")</f>
        <v>소울 슈터 28화</v>
      </c>
      <c r="D5278" t="str">
        <f>T("28")</f>
        <v>28</v>
      </c>
      <c r="E5278" t="str">
        <f t="shared" si="729"/>
        <v>라이큐</v>
      </c>
      <c r="H5278" t="str">
        <f t="shared" si="730"/>
        <v>스토리아크</v>
      </c>
      <c r="I5278" t="str">
        <f t="shared" si="731"/>
        <v>소울 슈터</v>
      </c>
      <c r="J5278">
        <v>100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R5278" t="str">
        <f t="shared" si="732"/>
        <v>0000000000000</v>
      </c>
      <c r="AT5278" t="str">
        <f t="shared" si="733"/>
        <v>9791191039078</v>
      </c>
      <c r="AV5278" t="str">
        <f t="shared" si="734"/>
        <v>판타지 웹소설 &gt; 정통 판타지</v>
      </c>
    </row>
    <row r="5279" spans="1:48" x14ac:dyDescent="0.4">
      <c r="A5279">
        <v>2313017646</v>
      </c>
      <c r="B5279">
        <v>2313017884</v>
      </c>
      <c r="C5279" t="str">
        <f>T("소울 슈터 29화")</f>
        <v>소울 슈터 29화</v>
      </c>
      <c r="D5279" t="str">
        <f>T("29")</f>
        <v>29</v>
      </c>
      <c r="E5279" t="str">
        <f t="shared" si="729"/>
        <v>라이큐</v>
      </c>
      <c r="H5279" t="str">
        <f t="shared" si="730"/>
        <v>스토리아크</v>
      </c>
      <c r="I5279" t="str">
        <f t="shared" si="731"/>
        <v>소울 슈터</v>
      </c>
      <c r="J5279">
        <v>100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2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2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R5279" t="str">
        <f t="shared" si="732"/>
        <v>0000000000000</v>
      </c>
      <c r="AT5279" t="str">
        <f t="shared" si="733"/>
        <v>9791191039078</v>
      </c>
      <c r="AV5279" t="str">
        <f t="shared" si="734"/>
        <v>판타지 웹소설 &gt; 정통 판타지</v>
      </c>
    </row>
    <row r="5280" spans="1:48" x14ac:dyDescent="0.4">
      <c r="A5280">
        <v>2313017646</v>
      </c>
      <c r="B5280">
        <v>2313017885</v>
      </c>
      <c r="C5280" t="str">
        <f>T("소울 슈터 30화")</f>
        <v>소울 슈터 30화</v>
      </c>
      <c r="D5280" t="str">
        <f>T("30")</f>
        <v>30</v>
      </c>
      <c r="E5280" t="str">
        <f t="shared" si="729"/>
        <v>라이큐</v>
      </c>
      <c r="H5280" t="str">
        <f t="shared" si="730"/>
        <v>스토리아크</v>
      </c>
      <c r="I5280" t="str">
        <f t="shared" si="731"/>
        <v>소울 슈터</v>
      </c>
      <c r="J5280">
        <v>100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R5280" t="str">
        <f t="shared" si="732"/>
        <v>0000000000000</v>
      </c>
      <c r="AT5280" t="str">
        <f t="shared" si="733"/>
        <v>9791191039078</v>
      </c>
      <c r="AV5280" t="str">
        <f t="shared" si="734"/>
        <v>판타지 웹소설 &gt; 정통 판타지</v>
      </c>
    </row>
    <row r="5281" spans="1:48" x14ac:dyDescent="0.4">
      <c r="A5281">
        <v>2313017646</v>
      </c>
      <c r="B5281">
        <v>2313017886</v>
      </c>
      <c r="C5281" t="str">
        <f>T("소울 슈터 31화")</f>
        <v>소울 슈터 31화</v>
      </c>
      <c r="D5281" t="str">
        <f>T("31")</f>
        <v>31</v>
      </c>
      <c r="E5281" t="str">
        <f t="shared" si="729"/>
        <v>라이큐</v>
      </c>
      <c r="H5281" t="str">
        <f t="shared" si="730"/>
        <v>스토리아크</v>
      </c>
      <c r="I5281" t="str">
        <f t="shared" si="731"/>
        <v>소울 슈터</v>
      </c>
      <c r="J5281">
        <v>100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2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2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R5281" t="str">
        <f t="shared" si="732"/>
        <v>0000000000000</v>
      </c>
      <c r="AT5281" t="str">
        <f t="shared" si="733"/>
        <v>9791191039078</v>
      </c>
      <c r="AV5281" t="str">
        <f t="shared" si="734"/>
        <v>판타지 웹소설 &gt; 정통 판타지</v>
      </c>
    </row>
    <row r="5282" spans="1:48" x14ac:dyDescent="0.4">
      <c r="A5282">
        <v>2313017646</v>
      </c>
      <c r="B5282">
        <v>2313017887</v>
      </c>
      <c r="C5282" t="str">
        <f>T("소울 슈터 32화")</f>
        <v>소울 슈터 32화</v>
      </c>
      <c r="D5282" t="str">
        <f>T("32")</f>
        <v>32</v>
      </c>
      <c r="E5282" t="str">
        <f t="shared" si="729"/>
        <v>라이큐</v>
      </c>
      <c r="H5282" t="str">
        <f t="shared" si="730"/>
        <v>스토리아크</v>
      </c>
      <c r="I5282" t="str">
        <f t="shared" si="731"/>
        <v>소울 슈터</v>
      </c>
      <c r="J5282">
        <v>100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R5282" t="str">
        <f t="shared" si="732"/>
        <v>0000000000000</v>
      </c>
      <c r="AT5282" t="str">
        <f t="shared" si="733"/>
        <v>9791191039078</v>
      </c>
      <c r="AV5282" t="str">
        <f t="shared" si="734"/>
        <v>판타지 웹소설 &gt; 정통 판타지</v>
      </c>
    </row>
    <row r="5283" spans="1:48" x14ac:dyDescent="0.4">
      <c r="A5283">
        <v>2313017646</v>
      </c>
      <c r="B5283">
        <v>2313017888</v>
      </c>
      <c r="C5283" t="str">
        <f>T("소울 슈터 33화")</f>
        <v>소울 슈터 33화</v>
      </c>
      <c r="D5283" t="str">
        <f>T("33")</f>
        <v>33</v>
      </c>
      <c r="E5283" t="str">
        <f t="shared" si="729"/>
        <v>라이큐</v>
      </c>
      <c r="H5283" t="str">
        <f t="shared" si="730"/>
        <v>스토리아크</v>
      </c>
      <c r="I5283" t="str">
        <f t="shared" si="731"/>
        <v>소울 슈터</v>
      </c>
      <c r="J5283">
        <v>100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R5283" t="str">
        <f t="shared" si="732"/>
        <v>0000000000000</v>
      </c>
      <c r="AT5283" t="str">
        <f t="shared" si="733"/>
        <v>9791191039078</v>
      </c>
      <c r="AV5283" t="str">
        <f t="shared" si="734"/>
        <v>판타지 웹소설 &gt; 정통 판타지</v>
      </c>
    </row>
    <row r="5284" spans="1:48" x14ac:dyDescent="0.4">
      <c r="A5284">
        <v>2313017646</v>
      </c>
      <c r="B5284">
        <v>2313017889</v>
      </c>
      <c r="C5284" t="str">
        <f>T("소울 슈터 34화")</f>
        <v>소울 슈터 34화</v>
      </c>
      <c r="D5284" t="str">
        <f>T("34")</f>
        <v>34</v>
      </c>
      <c r="E5284" t="str">
        <f t="shared" si="729"/>
        <v>라이큐</v>
      </c>
      <c r="H5284" t="str">
        <f t="shared" si="730"/>
        <v>스토리아크</v>
      </c>
      <c r="I5284" t="str">
        <f t="shared" si="731"/>
        <v>소울 슈터</v>
      </c>
      <c r="J5284">
        <v>100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R5284" t="str">
        <f t="shared" si="732"/>
        <v>0000000000000</v>
      </c>
      <c r="AT5284" t="str">
        <f t="shared" si="733"/>
        <v>9791191039078</v>
      </c>
      <c r="AV5284" t="str">
        <f t="shared" si="734"/>
        <v>판타지 웹소설 &gt; 정통 판타지</v>
      </c>
    </row>
    <row r="5285" spans="1:48" x14ac:dyDescent="0.4">
      <c r="A5285">
        <v>2313017646</v>
      </c>
      <c r="B5285">
        <v>2313017890</v>
      </c>
      <c r="C5285" t="str">
        <f>T("소울 슈터 35화")</f>
        <v>소울 슈터 35화</v>
      </c>
      <c r="D5285" t="str">
        <f>T("35")</f>
        <v>35</v>
      </c>
      <c r="E5285" t="str">
        <f t="shared" si="729"/>
        <v>라이큐</v>
      </c>
      <c r="H5285" t="str">
        <f t="shared" si="730"/>
        <v>스토리아크</v>
      </c>
      <c r="I5285" t="str">
        <f t="shared" si="731"/>
        <v>소울 슈터</v>
      </c>
      <c r="J5285">
        <v>100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R5285" t="str">
        <f t="shared" si="732"/>
        <v>0000000000000</v>
      </c>
      <c r="AT5285" t="str">
        <f t="shared" si="733"/>
        <v>9791191039078</v>
      </c>
      <c r="AV5285" t="str">
        <f t="shared" si="734"/>
        <v>판타지 웹소설 &gt; 정통 판타지</v>
      </c>
    </row>
    <row r="5286" spans="1:48" x14ac:dyDescent="0.4">
      <c r="A5286">
        <v>2313017646</v>
      </c>
      <c r="B5286">
        <v>2313017891</v>
      </c>
      <c r="C5286" t="str">
        <f>T("소울 슈터 36화")</f>
        <v>소울 슈터 36화</v>
      </c>
      <c r="D5286" t="str">
        <f>T("36")</f>
        <v>36</v>
      </c>
      <c r="E5286" t="str">
        <f t="shared" si="729"/>
        <v>라이큐</v>
      </c>
      <c r="H5286" t="str">
        <f t="shared" si="730"/>
        <v>스토리아크</v>
      </c>
      <c r="I5286" t="str">
        <f t="shared" si="731"/>
        <v>소울 슈터</v>
      </c>
      <c r="J5286">
        <v>100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R5286" t="str">
        <f t="shared" si="732"/>
        <v>0000000000000</v>
      </c>
      <c r="AT5286" t="str">
        <f t="shared" si="733"/>
        <v>9791191039078</v>
      </c>
      <c r="AV5286" t="str">
        <f t="shared" si="734"/>
        <v>판타지 웹소설 &gt; 정통 판타지</v>
      </c>
    </row>
    <row r="5287" spans="1:48" x14ac:dyDescent="0.4">
      <c r="A5287">
        <v>2313017646</v>
      </c>
      <c r="B5287">
        <v>2313017892</v>
      </c>
      <c r="C5287" t="str">
        <f>T("소울 슈터 37화")</f>
        <v>소울 슈터 37화</v>
      </c>
      <c r="D5287" t="str">
        <f>T("37")</f>
        <v>37</v>
      </c>
      <c r="E5287" t="str">
        <f t="shared" si="729"/>
        <v>라이큐</v>
      </c>
      <c r="H5287" t="str">
        <f t="shared" si="730"/>
        <v>스토리아크</v>
      </c>
      <c r="I5287" t="str">
        <f t="shared" si="731"/>
        <v>소울 슈터</v>
      </c>
      <c r="J5287">
        <v>100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2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2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R5287" t="str">
        <f t="shared" si="732"/>
        <v>0000000000000</v>
      </c>
      <c r="AT5287" t="str">
        <f t="shared" si="733"/>
        <v>9791191039078</v>
      </c>
      <c r="AV5287" t="str">
        <f t="shared" si="734"/>
        <v>판타지 웹소설 &gt; 정통 판타지</v>
      </c>
    </row>
    <row r="5288" spans="1:48" x14ac:dyDescent="0.4">
      <c r="A5288">
        <v>2313017646</v>
      </c>
      <c r="B5288">
        <v>2313017893</v>
      </c>
      <c r="C5288" t="str">
        <f>T("소울 슈터 38화")</f>
        <v>소울 슈터 38화</v>
      </c>
      <c r="D5288" t="str">
        <f>T("38")</f>
        <v>38</v>
      </c>
      <c r="E5288" t="str">
        <f t="shared" si="729"/>
        <v>라이큐</v>
      </c>
      <c r="H5288" t="str">
        <f t="shared" si="730"/>
        <v>스토리아크</v>
      </c>
      <c r="I5288" t="str">
        <f t="shared" si="731"/>
        <v>소울 슈터</v>
      </c>
      <c r="J5288">
        <v>100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2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2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R5288" t="str">
        <f t="shared" si="732"/>
        <v>0000000000000</v>
      </c>
      <c r="AT5288" t="str">
        <f t="shared" si="733"/>
        <v>9791191039078</v>
      </c>
      <c r="AV5288" t="str">
        <f t="shared" si="734"/>
        <v>판타지 웹소설 &gt; 정통 판타지</v>
      </c>
    </row>
    <row r="5289" spans="1:48" x14ac:dyDescent="0.4">
      <c r="A5289">
        <v>2313017646</v>
      </c>
      <c r="B5289">
        <v>2313017894</v>
      </c>
      <c r="C5289" t="str">
        <f>T("소울 슈터 39화")</f>
        <v>소울 슈터 39화</v>
      </c>
      <c r="D5289" t="str">
        <f>T("39")</f>
        <v>39</v>
      </c>
      <c r="E5289" t="str">
        <f t="shared" si="729"/>
        <v>라이큐</v>
      </c>
      <c r="H5289" t="str">
        <f t="shared" si="730"/>
        <v>스토리아크</v>
      </c>
      <c r="I5289" t="str">
        <f t="shared" si="731"/>
        <v>소울 슈터</v>
      </c>
      <c r="J5289">
        <v>100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R5289" t="str">
        <f t="shared" si="732"/>
        <v>0000000000000</v>
      </c>
      <c r="AT5289" t="str">
        <f t="shared" si="733"/>
        <v>9791191039078</v>
      </c>
      <c r="AV5289" t="str">
        <f t="shared" si="734"/>
        <v>판타지 웹소설 &gt; 정통 판타지</v>
      </c>
    </row>
    <row r="5290" spans="1:48" x14ac:dyDescent="0.4">
      <c r="A5290">
        <v>2313017646</v>
      </c>
      <c r="B5290">
        <v>2313017895</v>
      </c>
      <c r="C5290" t="str">
        <f>T("소울 슈터 40화")</f>
        <v>소울 슈터 40화</v>
      </c>
      <c r="D5290" t="str">
        <f>T("40")</f>
        <v>40</v>
      </c>
      <c r="E5290" t="str">
        <f t="shared" si="729"/>
        <v>라이큐</v>
      </c>
      <c r="H5290" t="str">
        <f t="shared" si="730"/>
        <v>스토리아크</v>
      </c>
      <c r="I5290" t="str">
        <f t="shared" si="731"/>
        <v>소울 슈터</v>
      </c>
      <c r="J5290">
        <v>100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R5290" t="str">
        <f t="shared" si="732"/>
        <v>0000000000000</v>
      </c>
      <c r="AT5290" t="str">
        <f t="shared" si="733"/>
        <v>9791191039078</v>
      </c>
      <c r="AV5290" t="str">
        <f t="shared" si="734"/>
        <v>판타지 웹소설 &gt; 정통 판타지</v>
      </c>
    </row>
    <row r="5291" spans="1:48" x14ac:dyDescent="0.4">
      <c r="A5291">
        <v>2313017646</v>
      </c>
      <c r="B5291">
        <v>2313018064</v>
      </c>
      <c r="C5291" t="str">
        <f>T("소울 슈터 209화")</f>
        <v>소울 슈터 209화</v>
      </c>
      <c r="D5291" t="str">
        <f>T("209")</f>
        <v>209</v>
      </c>
      <c r="E5291" t="str">
        <f t="shared" si="729"/>
        <v>라이큐</v>
      </c>
      <c r="H5291" t="str">
        <f t="shared" si="730"/>
        <v>스토리아크</v>
      </c>
      <c r="I5291" t="str">
        <f t="shared" si="731"/>
        <v>소울 슈터</v>
      </c>
      <c r="J5291">
        <v>100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1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R5291" t="str">
        <f t="shared" si="732"/>
        <v>0000000000000</v>
      </c>
      <c r="AT5291" t="str">
        <f t="shared" si="733"/>
        <v>9791191039078</v>
      </c>
      <c r="AV5291" t="str">
        <f t="shared" si="734"/>
        <v>판타지 웹소설 &gt; 정통 판타지</v>
      </c>
    </row>
    <row r="5292" spans="1:48" x14ac:dyDescent="0.4">
      <c r="A5292">
        <v>2313017646</v>
      </c>
      <c r="B5292">
        <v>2313018065</v>
      </c>
      <c r="C5292" t="str">
        <f>T("소울 슈터 210화")</f>
        <v>소울 슈터 210화</v>
      </c>
      <c r="D5292" t="str">
        <f>T("210")</f>
        <v>210</v>
      </c>
      <c r="E5292" t="str">
        <f t="shared" si="729"/>
        <v>라이큐</v>
      </c>
      <c r="H5292" t="str">
        <f t="shared" si="730"/>
        <v>스토리아크</v>
      </c>
      <c r="I5292" t="str">
        <f t="shared" si="731"/>
        <v>소울 슈터</v>
      </c>
      <c r="J5292">
        <v>100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R5292" t="str">
        <f t="shared" si="732"/>
        <v>0000000000000</v>
      </c>
      <c r="AT5292" t="str">
        <f t="shared" si="733"/>
        <v>9791191039078</v>
      </c>
      <c r="AV5292" t="str">
        <f t="shared" si="734"/>
        <v>판타지 웹소설 &gt; 정통 판타지</v>
      </c>
    </row>
    <row r="5293" spans="1:48" x14ac:dyDescent="0.4">
      <c r="A5293">
        <v>2313017646</v>
      </c>
      <c r="B5293">
        <v>2313018066</v>
      </c>
      <c r="C5293" t="str">
        <f>T("소울 슈터 211화")</f>
        <v>소울 슈터 211화</v>
      </c>
      <c r="D5293" t="str">
        <f>T("211")</f>
        <v>211</v>
      </c>
      <c r="E5293" t="str">
        <f t="shared" si="729"/>
        <v>라이큐</v>
      </c>
      <c r="H5293" t="str">
        <f t="shared" si="730"/>
        <v>스토리아크</v>
      </c>
      <c r="I5293" t="str">
        <f t="shared" si="731"/>
        <v>소울 슈터</v>
      </c>
      <c r="J5293">
        <v>100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R5293" t="str">
        <f t="shared" si="732"/>
        <v>0000000000000</v>
      </c>
      <c r="AT5293" t="str">
        <f t="shared" si="733"/>
        <v>9791191039078</v>
      </c>
      <c r="AV5293" t="str">
        <f t="shared" si="734"/>
        <v>판타지 웹소설 &gt; 정통 판타지</v>
      </c>
    </row>
    <row r="5294" spans="1:48" x14ac:dyDescent="0.4">
      <c r="A5294">
        <v>2313017646</v>
      </c>
      <c r="B5294">
        <v>2313018067</v>
      </c>
      <c r="C5294" t="str">
        <f>T("소울 슈터 212화")</f>
        <v>소울 슈터 212화</v>
      </c>
      <c r="D5294" t="str">
        <f>T("212")</f>
        <v>212</v>
      </c>
      <c r="E5294" t="str">
        <f t="shared" si="729"/>
        <v>라이큐</v>
      </c>
      <c r="H5294" t="str">
        <f t="shared" si="730"/>
        <v>스토리아크</v>
      </c>
      <c r="I5294" t="str">
        <f t="shared" si="731"/>
        <v>소울 슈터</v>
      </c>
      <c r="J5294">
        <v>100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R5294" t="str">
        <f t="shared" si="732"/>
        <v>0000000000000</v>
      </c>
      <c r="AT5294" t="str">
        <f t="shared" si="733"/>
        <v>9791191039078</v>
      </c>
      <c r="AV5294" t="str">
        <f t="shared" si="734"/>
        <v>판타지 웹소설 &gt; 정통 판타지</v>
      </c>
    </row>
    <row r="5295" spans="1:48" x14ac:dyDescent="0.4">
      <c r="A5295">
        <v>2313017646</v>
      </c>
      <c r="B5295">
        <v>2313018068</v>
      </c>
      <c r="C5295" t="str">
        <f>T("소울 슈터 213화")</f>
        <v>소울 슈터 213화</v>
      </c>
      <c r="D5295" t="str">
        <f>T("213")</f>
        <v>213</v>
      </c>
      <c r="E5295" t="str">
        <f t="shared" si="729"/>
        <v>라이큐</v>
      </c>
      <c r="H5295" t="str">
        <f t="shared" si="730"/>
        <v>스토리아크</v>
      </c>
      <c r="I5295" t="str">
        <f t="shared" si="731"/>
        <v>소울 슈터</v>
      </c>
      <c r="J5295">
        <v>100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R5295" t="str">
        <f t="shared" si="732"/>
        <v>0000000000000</v>
      </c>
      <c r="AT5295" t="str">
        <f t="shared" si="733"/>
        <v>9791191039078</v>
      </c>
      <c r="AV5295" t="str">
        <f t="shared" si="734"/>
        <v>판타지 웹소설 &gt; 정통 판타지</v>
      </c>
    </row>
    <row r="5296" spans="1:48" x14ac:dyDescent="0.4">
      <c r="A5296">
        <v>2313017646</v>
      </c>
      <c r="B5296">
        <v>2313018069</v>
      </c>
      <c r="C5296" t="str">
        <f>T("소울 슈터 214화")</f>
        <v>소울 슈터 214화</v>
      </c>
      <c r="D5296" t="str">
        <f>T("214")</f>
        <v>214</v>
      </c>
      <c r="E5296" t="str">
        <f t="shared" si="729"/>
        <v>라이큐</v>
      </c>
      <c r="H5296" t="str">
        <f t="shared" si="730"/>
        <v>스토리아크</v>
      </c>
      <c r="I5296" t="str">
        <f t="shared" si="731"/>
        <v>소울 슈터</v>
      </c>
      <c r="J5296">
        <v>100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R5296" t="str">
        <f t="shared" si="732"/>
        <v>0000000000000</v>
      </c>
      <c r="AT5296" t="str">
        <f t="shared" si="733"/>
        <v>9791191039078</v>
      </c>
      <c r="AV5296" t="str">
        <f t="shared" si="734"/>
        <v>판타지 웹소설 &gt; 정통 판타지</v>
      </c>
    </row>
    <row r="5297" spans="1:48" x14ac:dyDescent="0.4">
      <c r="A5297">
        <v>2313017646</v>
      </c>
      <c r="B5297">
        <v>2313018070</v>
      </c>
      <c r="C5297" t="str">
        <f>T("소울 슈터 215화")</f>
        <v>소울 슈터 215화</v>
      </c>
      <c r="D5297" t="str">
        <f>T("215")</f>
        <v>215</v>
      </c>
      <c r="E5297" t="str">
        <f t="shared" si="729"/>
        <v>라이큐</v>
      </c>
      <c r="H5297" t="str">
        <f t="shared" si="730"/>
        <v>스토리아크</v>
      </c>
      <c r="I5297" t="str">
        <f t="shared" si="731"/>
        <v>소울 슈터</v>
      </c>
      <c r="J5297">
        <v>100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R5297" t="str">
        <f t="shared" si="732"/>
        <v>0000000000000</v>
      </c>
      <c r="AT5297" t="str">
        <f t="shared" si="733"/>
        <v>9791191039078</v>
      </c>
      <c r="AV5297" t="str">
        <f t="shared" si="734"/>
        <v>판타지 웹소설 &gt; 정통 판타지</v>
      </c>
    </row>
    <row r="5298" spans="1:48" x14ac:dyDescent="0.4">
      <c r="A5298">
        <v>2313017646</v>
      </c>
      <c r="B5298">
        <v>2313018071</v>
      </c>
      <c r="C5298" t="str">
        <f>T("소울 슈터 216화")</f>
        <v>소울 슈터 216화</v>
      </c>
      <c r="D5298" t="str">
        <f>T("216")</f>
        <v>216</v>
      </c>
      <c r="E5298" t="str">
        <f t="shared" si="729"/>
        <v>라이큐</v>
      </c>
      <c r="H5298" t="str">
        <f t="shared" si="730"/>
        <v>스토리아크</v>
      </c>
      <c r="I5298" t="str">
        <f t="shared" si="731"/>
        <v>소울 슈터</v>
      </c>
      <c r="J5298">
        <v>100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1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R5298" t="str">
        <f t="shared" si="732"/>
        <v>0000000000000</v>
      </c>
      <c r="AT5298" t="str">
        <f t="shared" si="733"/>
        <v>9791191039078</v>
      </c>
      <c r="AV5298" t="str">
        <f t="shared" si="734"/>
        <v>판타지 웹소설 &gt; 정통 판타지</v>
      </c>
    </row>
    <row r="5299" spans="1:48" x14ac:dyDescent="0.4">
      <c r="A5299">
        <v>2313017646</v>
      </c>
      <c r="B5299">
        <v>2313018072</v>
      </c>
      <c r="C5299" t="str">
        <f>T("소울 슈터 217화")</f>
        <v>소울 슈터 217화</v>
      </c>
      <c r="D5299" t="str">
        <f>T("217")</f>
        <v>217</v>
      </c>
      <c r="E5299" t="str">
        <f t="shared" si="729"/>
        <v>라이큐</v>
      </c>
      <c r="H5299" t="str">
        <f t="shared" si="730"/>
        <v>스토리아크</v>
      </c>
      <c r="I5299" t="str">
        <f t="shared" si="731"/>
        <v>소울 슈터</v>
      </c>
      <c r="J5299">
        <v>100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2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2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R5299" t="str">
        <f t="shared" si="732"/>
        <v>0000000000000</v>
      </c>
      <c r="AT5299" t="str">
        <f t="shared" si="733"/>
        <v>9791191039078</v>
      </c>
      <c r="AV5299" t="str">
        <f t="shared" si="734"/>
        <v>판타지 웹소설 &gt; 정통 판타지</v>
      </c>
    </row>
    <row r="5300" spans="1:48" x14ac:dyDescent="0.4">
      <c r="A5300">
        <v>2313017646</v>
      </c>
      <c r="B5300">
        <v>2313018073</v>
      </c>
      <c r="C5300" t="str">
        <f>T("소울 슈터 218화 (완결)")</f>
        <v>소울 슈터 218화 (완결)</v>
      </c>
      <c r="D5300" t="str">
        <f>T("218")</f>
        <v>218</v>
      </c>
      <c r="E5300" t="str">
        <f t="shared" si="729"/>
        <v>라이큐</v>
      </c>
      <c r="H5300" t="str">
        <f t="shared" si="730"/>
        <v>스토리아크</v>
      </c>
      <c r="I5300" t="str">
        <f t="shared" si="731"/>
        <v>소울 슈터</v>
      </c>
      <c r="J5300">
        <v>100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2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2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R5300" t="str">
        <f t="shared" si="732"/>
        <v>0000000000000</v>
      </c>
      <c r="AT5300" t="str">
        <f t="shared" si="733"/>
        <v>9791191039078</v>
      </c>
      <c r="AV5300" t="str">
        <f t="shared" si="734"/>
        <v>판타지 웹소설 &gt; 정통 판타지</v>
      </c>
    </row>
    <row r="5301" spans="1:48" x14ac:dyDescent="0.4">
      <c r="A5301">
        <v>2313018081</v>
      </c>
      <c r="B5301">
        <v>2313018081</v>
      </c>
      <c r="C5301" t="str">
        <f>T("[e북]헌터인데 내공이 좀 많네요 1권")</f>
        <v>[e북]헌터인데 내공이 좀 많네요 1권</v>
      </c>
      <c r="D5301" t="str">
        <f>T("1")</f>
        <v>1</v>
      </c>
      <c r="E5301" t="str">
        <f>T("돈문어")</f>
        <v>돈문어</v>
      </c>
      <c r="H5301" t="str">
        <f>T("스토리위즈")</f>
        <v>스토리위즈</v>
      </c>
      <c r="I5301" t="str">
        <f>T("[e북]헌터인데 내공이 좀 많네요")</f>
        <v>[e북]헌터인데 내공이 좀 많네요</v>
      </c>
      <c r="J5301">
        <v>0</v>
      </c>
      <c r="K5301">
        <v>0</v>
      </c>
      <c r="L5301">
        <v>0</v>
      </c>
      <c r="M5301">
        <v>504</v>
      </c>
      <c r="N5301">
        <v>0</v>
      </c>
      <c r="O5301">
        <v>0</v>
      </c>
      <c r="P5301">
        <v>211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715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R5301" t="str">
        <f t="shared" si="732"/>
        <v>0000000000000</v>
      </c>
      <c r="AT5301" t="str">
        <f>T("9791137604391")</f>
        <v>9791137604391</v>
      </c>
      <c r="AV5301" t="str">
        <f>T("판타지 e북 &gt; 퓨전 판타지")</f>
        <v>판타지 e북 &gt; 퓨전 판타지</v>
      </c>
    </row>
    <row r="5302" spans="1:48" x14ac:dyDescent="0.4">
      <c r="A5302">
        <v>2313018089</v>
      </c>
      <c r="B5302">
        <v>2313018089</v>
      </c>
      <c r="C5302" t="str">
        <f>T("[e북]신들의 알바나라 1권")</f>
        <v>[e북]신들의 알바나라 1권</v>
      </c>
      <c r="D5302" t="str">
        <f>T("1")</f>
        <v>1</v>
      </c>
      <c r="E5302" t="str">
        <f>T("갓띵작")</f>
        <v>갓띵작</v>
      </c>
      <c r="H5302" t="str">
        <f>T("스토리위즈")</f>
        <v>스토리위즈</v>
      </c>
      <c r="I5302" t="str">
        <f>T("[e북]신들의 알바나라")</f>
        <v>[e북]신들의 알바나라</v>
      </c>
      <c r="J5302">
        <v>0</v>
      </c>
      <c r="K5302">
        <v>0</v>
      </c>
      <c r="L5302">
        <v>0</v>
      </c>
      <c r="M5302">
        <v>255</v>
      </c>
      <c r="N5302">
        <v>0</v>
      </c>
      <c r="O5302">
        <v>0</v>
      </c>
      <c r="P5302">
        <v>74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329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T5302" t="str">
        <f>T("9791137604490")</f>
        <v>9791137604490</v>
      </c>
      <c r="AV5302" t="str">
        <f>T("판타지 e북 &gt; 퓨전 판타지")</f>
        <v>판타지 e북 &gt; 퓨전 판타지</v>
      </c>
    </row>
    <row r="5303" spans="1:48" x14ac:dyDescent="0.4">
      <c r="AN5303" s="16" t="s">
        <v>75</v>
      </c>
      <c r="AO5303" s="16"/>
      <c r="AP5303" s="3">
        <f>SUM(AP2:AP5302)</f>
        <v>9839539.4200000707</v>
      </c>
    </row>
    <row r="5304" spans="1:48" x14ac:dyDescent="0.4">
      <c r="AN5304" s="17" t="s">
        <v>76</v>
      </c>
      <c r="AO5304" s="17"/>
      <c r="AP5304" s="4">
        <f>'솜목화&lt;친절하기는 얼어죽을&gt; MG차감내역'!C10</f>
        <v>422619</v>
      </c>
    </row>
    <row r="5305" spans="1:48" x14ac:dyDescent="0.4">
      <c r="AN5305" s="16" t="s">
        <v>77</v>
      </c>
      <c r="AO5305" s="16"/>
      <c r="AP5305" s="15">
        <f>AP5303-AP5304</f>
        <v>9416920.4200000707</v>
      </c>
    </row>
  </sheetData>
  <autoFilter ref="A1:AW5305"/>
  <mergeCells count="3">
    <mergeCell ref="AN5305:AO5305"/>
    <mergeCell ref="AN5303:AO5303"/>
    <mergeCell ref="AN5304:AO5304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>
      <selection activeCell="C20" sqref="C20"/>
    </sheetView>
  </sheetViews>
  <sheetFormatPr defaultRowHeight="17.399999999999999" x14ac:dyDescent="0.4"/>
  <cols>
    <col min="2" max="2" width="17.5" customWidth="1"/>
    <col min="3" max="3" width="11.09765625" bestFit="1" customWidth="1"/>
    <col min="4" max="4" width="13" bestFit="1" customWidth="1"/>
    <col min="5" max="5" width="11.09765625" bestFit="1" customWidth="1"/>
    <col min="18" max="18" width="16.69921875" bestFit="1" customWidth="1"/>
    <col min="19" max="19" width="11.09765625" bestFit="1" customWidth="1"/>
    <col min="20" max="20" width="10.8984375" bestFit="1" customWidth="1"/>
    <col min="21" max="21" width="9.19921875" bestFit="1" customWidth="1"/>
    <col min="23" max="23" width="16.09765625" bestFit="1" customWidth="1"/>
    <col min="27" max="27" width="15.69921875" bestFit="1" customWidth="1"/>
    <col min="28" max="28" width="11.09765625" bestFit="1" customWidth="1"/>
  </cols>
  <sheetData>
    <row r="1" spans="1:30" x14ac:dyDescent="0.4">
      <c r="A1" t="s">
        <v>57</v>
      </c>
      <c r="B1" t="s">
        <v>49</v>
      </c>
      <c r="C1" t="s">
        <v>58</v>
      </c>
      <c r="D1" t="s">
        <v>59</v>
      </c>
      <c r="E1" t="s">
        <v>50</v>
      </c>
      <c r="F1" t="s">
        <v>60</v>
      </c>
      <c r="G1" t="s">
        <v>8</v>
      </c>
      <c r="H1" t="s">
        <v>9</v>
      </c>
      <c r="I1" t="s">
        <v>10</v>
      </c>
      <c r="J1" t="s">
        <v>11</v>
      </c>
      <c r="K1" t="s">
        <v>41</v>
      </c>
      <c r="L1" t="s">
        <v>40</v>
      </c>
      <c r="M1" t="s">
        <v>61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51</v>
      </c>
      <c r="AC1" t="s">
        <v>52</v>
      </c>
      <c r="AD1" t="s">
        <v>53</v>
      </c>
    </row>
    <row r="2" spans="1:30" x14ac:dyDescent="0.4">
      <c r="A2">
        <v>1469</v>
      </c>
      <c r="B2" t="s">
        <v>54</v>
      </c>
      <c r="C2">
        <v>202207</v>
      </c>
      <c r="D2">
        <v>202205</v>
      </c>
      <c r="E2">
        <v>10000000</v>
      </c>
      <c r="F2">
        <v>8935735</v>
      </c>
      <c r="G2">
        <v>662300</v>
      </c>
      <c r="H2">
        <v>6623</v>
      </c>
      <c r="I2">
        <v>8737</v>
      </c>
      <c r="J2">
        <v>44200</v>
      </c>
      <c r="K2">
        <v>442</v>
      </c>
      <c r="L2">
        <v>15028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-700</v>
      </c>
      <c r="T2">
        <v>55</v>
      </c>
      <c r="U2" s="1">
        <v>422619</v>
      </c>
      <c r="V2">
        <v>0</v>
      </c>
      <c r="W2">
        <v>422619</v>
      </c>
      <c r="X2">
        <v>0</v>
      </c>
      <c r="Y2">
        <v>0</v>
      </c>
      <c r="Z2">
        <v>0</v>
      </c>
      <c r="AA2">
        <v>8513116</v>
      </c>
      <c r="AB2" s="5">
        <v>44661</v>
      </c>
      <c r="AC2" t="s">
        <v>55</v>
      </c>
      <c r="AD2" t="s">
        <v>56</v>
      </c>
    </row>
    <row r="6" spans="1:30" x14ac:dyDescent="0.4">
      <c r="A6" s="6" t="s">
        <v>69</v>
      </c>
      <c r="B6" s="7"/>
      <c r="C6" s="7"/>
      <c r="D6" s="8"/>
    </row>
    <row r="7" spans="1:30" x14ac:dyDescent="0.4">
      <c r="A7" s="9" t="s">
        <v>70</v>
      </c>
      <c r="B7" s="9" t="s">
        <v>71</v>
      </c>
      <c r="C7" s="9" t="s">
        <v>72</v>
      </c>
      <c r="D7" s="9" t="s">
        <v>73</v>
      </c>
    </row>
    <row r="8" spans="1:30" x14ac:dyDescent="0.4">
      <c r="A8" s="10">
        <v>202202</v>
      </c>
      <c r="B8" s="11">
        <v>10000000</v>
      </c>
      <c r="C8" s="12"/>
      <c r="D8" s="13">
        <f>B8-C8</f>
        <v>10000000</v>
      </c>
    </row>
    <row r="9" spans="1:30" x14ac:dyDescent="0.4">
      <c r="A9" s="10">
        <v>202204</v>
      </c>
      <c r="B9" s="11"/>
      <c r="C9" s="18">
        <v>1064265</v>
      </c>
      <c r="D9" s="13">
        <f>D8-C9</f>
        <v>8935735</v>
      </c>
    </row>
    <row r="10" spans="1:30" x14ac:dyDescent="0.4">
      <c r="A10" s="10">
        <v>202205</v>
      </c>
      <c r="B10" s="11"/>
      <c r="C10" s="18">
        <f>W2</f>
        <v>422619</v>
      </c>
      <c r="D10" s="13">
        <f>D9-C10</f>
        <v>8513116</v>
      </c>
    </row>
    <row r="11" spans="1:30" x14ac:dyDescent="0.4">
      <c r="A11" s="9" t="s">
        <v>74</v>
      </c>
      <c r="B11" s="14">
        <f>SUM(B8:B9)</f>
        <v>10000000</v>
      </c>
      <c r="C11" s="14">
        <f>SUM(C8:C10)</f>
        <v>1486884</v>
      </c>
      <c r="D11" s="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(5)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2022-06-23T08:03:34Z</dcterms:modified>
</cp:coreProperties>
</file>